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9"/>
  <workbookPr/>
  <mc:AlternateContent xmlns:mc="http://schemas.openxmlformats.org/markup-compatibility/2006">
    <mc:Choice Requires="x15">
      <x15ac:absPath xmlns:x15ac="http://schemas.microsoft.com/office/spreadsheetml/2010/11/ac" url="/Volumes/FICHIERS/OPERATIONS/OPERATIONNEL_SAEDEL/Toury/1052 WELDOM/3. PILOTAGE/"/>
    </mc:Choice>
  </mc:AlternateContent>
  <xr:revisionPtr revIDLastSave="0" documentId="13_ncr:1_{33486E9B-5C5D-7E42-9F29-5B21884D599D}" xr6:coauthVersionLast="47" xr6:coauthVersionMax="47" xr10:uidLastSave="{00000000-0000-0000-0000-000000000000}"/>
  <bookViews>
    <workbookView xWindow="0" yWindow="2740" windowWidth="29040" windowHeight="15720" activeTab="2" xr2:uid="{00000000-000D-0000-FFFF-FFFF00000000}"/>
  </bookViews>
  <sheets>
    <sheet name="Feuil1" sheetId="1" state="hidden" r:id="rId1"/>
    <sheet name="Màj SCET" sheetId="2" state="hidden" r:id="rId2"/>
    <sheet name="Bilan CRAC " sheetId="7" r:id="rId3"/>
    <sheet name="Bilan" sheetId="4" state="hidden" r:id="rId4"/>
    <sheet name="Surfaces" sheetId="5" state="hidden" r:id="rId5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7" l="1"/>
  <c r="I51" i="7"/>
  <c r="H51" i="7"/>
  <c r="I83" i="7"/>
  <c r="H83" i="7"/>
  <c r="G83" i="7"/>
  <c r="I87" i="7"/>
  <c r="H87" i="7"/>
  <c r="G87" i="7"/>
  <c r="I81" i="7"/>
  <c r="G81" i="7"/>
  <c r="H24" i="7"/>
  <c r="I3" i="7"/>
  <c r="H81" i="7" l="1"/>
  <c r="G85" i="7"/>
  <c r="G89" i="7" s="1"/>
  <c r="H43" i="7"/>
  <c r="H52" i="7" s="1"/>
  <c r="G75" i="7"/>
  <c r="I24" i="7"/>
  <c r="G24" i="7"/>
  <c r="G43" i="7"/>
  <c r="G34" i="4"/>
  <c r="G33" i="4"/>
  <c r="G52" i="4"/>
  <c r="G51" i="4"/>
  <c r="I29" i="4"/>
  <c r="D23" i="4"/>
  <c r="G23" i="4" s="1"/>
  <c r="G21" i="4"/>
  <c r="H21" i="4" s="1"/>
  <c r="H75" i="7" l="1"/>
  <c r="H85" i="7"/>
  <c r="H89" i="7" s="1"/>
  <c r="I75" i="7"/>
  <c r="I43" i="7"/>
  <c r="I52" i="7" s="1"/>
  <c r="I85" i="7"/>
  <c r="I89" i="7" s="1"/>
  <c r="H35" i="7"/>
  <c r="I35" i="7"/>
  <c r="I34" i="4"/>
  <c r="H33" i="4"/>
  <c r="I33" i="4" s="1"/>
  <c r="H34" i="4"/>
  <c r="D24" i="4"/>
  <c r="G24" i="4" s="1"/>
  <c r="H24" i="4" s="1"/>
  <c r="I24" i="4" s="1"/>
  <c r="H23" i="4"/>
  <c r="I23" i="4" s="1"/>
  <c r="I21" i="4"/>
  <c r="G59" i="7" l="1"/>
  <c r="D70" i="4"/>
  <c r="G70" i="4" s="1"/>
  <c r="D69" i="4"/>
  <c r="D68" i="4"/>
  <c r="D67" i="4"/>
  <c r="G67" i="4" s="1"/>
  <c r="D66" i="4"/>
  <c r="G66" i="4" s="1"/>
  <c r="G69" i="4"/>
  <c r="H69" i="4" s="1"/>
  <c r="H59" i="7" l="1"/>
  <c r="H67" i="4"/>
  <c r="I67" i="4" s="1"/>
  <c r="H70" i="4"/>
  <c r="I69" i="4"/>
  <c r="D56" i="4"/>
  <c r="G56" i="4" s="1"/>
  <c r="G32" i="4"/>
  <c r="G12" i="4"/>
  <c r="H12" i="4" s="1"/>
  <c r="H13" i="4" s="1"/>
  <c r="G36" i="4"/>
  <c r="G35" i="4" s="1"/>
  <c r="C8" i="4"/>
  <c r="D22" i="4" s="1"/>
  <c r="G22" i="4" s="1"/>
  <c r="H22" i="4" s="1"/>
  <c r="I22" i="4" s="1"/>
  <c r="H10" i="4"/>
  <c r="H9" i="4"/>
  <c r="D12" i="5"/>
  <c r="H11" i="4" s="1"/>
  <c r="D105" i="4"/>
  <c r="G105" i="4" s="1"/>
  <c r="B12" i="5"/>
  <c r="B11" i="5"/>
  <c r="D109" i="4"/>
  <c r="H56" i="4" l="1"/>
  <c r="D57" i="4"/>
  <c r="I59" i="7"/>
  <c r="I70" i="4"/>
  <c r="G13" i="4"/>
  <c r="D99" i="4"/>
  <c r="G99" i="4" s="1"/>
  <c r="H99" i="4" s="1"/>
  <c r="I99" i="4" s="1"/>
  <c r="H105" i="4"/>
  <c r="I105" i="4" s="1"/>
  <c r="H66" i="7" l="1"/>
  <c r="H76" i="7" s="1"/>
  <c r="H78" i="7" s="1"/>
  <c r="G66" i="7"/>
  <c r="G76" i="7" s="1"/>
  <c r="H124" i="4"/>
  <c r="I124" i="4" s="1"/>
  <c r="G125" i="4"/>
  <c r="H60" i="4"/>
  <c r="I60" i="4" s="1"/>
  <c r="I66" i="7" l="1"/>
  <c r="I76" i="7" s="1"/>
  <c r="I78" i="7" s="1"/>
  <c r="G64" i="4"/>
  <c r="G78" i="4" l="1"/>
  <c r="I3" i="4"/>
  <c r="G109" i="4" l="1"/>
  <c r="H109" i="4" s="1"/>
  <c r="H52" i="4"/>
  <c r="I56" i="4"/>
  <c r="H51" i="4" l="1"/>
  <c r="G50" i="4"/>
  <c r="H50" i="4" l="1"/>
  <c r="I50" i="4" s="1"/>
  <c r="G53" i="4"/>
  <c r="H53" i="4" s="1"/>
  <c r="H54" i="4" l="1"/>
  <c r="G54" i="4"/>
  <c r="H64" i="4"/>
  <c r="H65" i="4" s="1"/>
  <c r="H66" i="4"/>
  <c r="G68" i="4"/>
  <c r="H36" i="4"/>
  <c r="H30" i="4"/>
  <c r="C13" i="2"/>
  <c r="I119" i="4"/>
  <c r="I120" i="4" s="1"/>
  <c r="I116" i="4"/>
  <c r="I115" i="4"/>
  <c r="I109" i="4"/>
  <c r="I110" i="4" s="1"/>
  <c r="I78" i="4"/>
  <c r="I51" i="4"/>
  <c r="I52" i="4"/>
  <c r="I53" i="4"/>
  <c r="H120" i="4"/>
  <c r="G120" i="4"/>
  <c r="H117" i="4"/>
  <c r="G117" i="4"/>
  <c r="H110" i="4"/>
  <c r="G110" i="4"/>
  <c r="G106" i="4"/>
  <c r="G102" i="4"/>
  <c r="H80" i="4"/>
  <c r="H68" i="4" l="1"/>
  <c r="H71" i="4" s="1"/>
  <c r="H73" i="4" s="1"/>
  <c r="G71" i="4"/>
  <c r="I66" i="4"/>
  <c r="G121" i="4"/>
  <c r="G65" i="4"/>
  <c r="H37" i="4"/>
  <c r="I37" i="4" s="1"/>
  <c r="I64" i="4"/>
  <c r="I65" i="4" s="1"/>
  <c r="I68" i="4"/>
  <c r="I54" i="4"/>
  <c r="H32" i="4"/>
  <c r="I32" i="4" s="1"/>
  <c r="H121" i="4"/>
  <c r="G107" i="4"/>
  <c r="G111" i="4" s="1"/>
  <c r="D79" i="4" s="1"/>
  <c r="I36" i="4"/>
  <c r="H102" i="4"/>
  <c r="H106" i="4"/>
  <c r="I106" i="4" s="1"/>
  <c r="I117" i="4"/>
  <c r="I121" i="4" s="1"/>
  <c r="I71" i="4" l="1"/>
  <c r="D72" i="4"/>
  <c r="G72" i="4" s="1"/>
  <c r="I72" i="4" s="1"/>
  <c r="G79" i="4"/>
  <c r="I79" i="4" s="1"/>
  <c r="H35" i="4"/>
  <c r="H40" i="4" s="1"/>
  <c r="I35" i="4"/>
  <c r="G30" i="4"/>
  <c r="G43" i="4"/>
  <c r="H107" i="4"/>
  <c r="H111" i="4" s="1"/>
  <c r="I102" i="4"/>
  <c r="I107" i="4" s="1"/>
  <c r="I73" i="4" l="1"/>
  <c r="G73" i="4"/>
  <c r="I30" i="4"/>
  <c r="D86" i="4"/>
  <c r="G86" i="4" s="1"/>
  <c r="H86" i="4" s="1"/>
  <c r="I86" i="4" s="1"/>
  <c r="D87" i="4"/>
  <c r="G87" i="4" s="1"/>
  <c r="H87" i="4" s="1"/>
  <c r="I87" i="4" s="1"/>
  <c r="D88" i="4"/>
  <c r="G88" i="4" s="1"/>
  <c r="H88" i="4" s="1"/>
  <c r="I88" i="4" s="1"/>
  <c r="D82" i="4"/>
  <c r="G82" i="4" s="1"/>
  <c r="H82" i="4" s="1"/>
  <c r="I82" i="4" s="1"/>
  <c r="D83" i="4"/>
  <c r="G83" i="4" s="1"/>
  <c r="H83" i="4" s="1"/>
  <c r="I83" i="4" s="1"/>
  <c r="D85" i="4"/>
  <c r="G85" i="4" s="1"/>
  <c r="H85" i="4" s="1"/>
  <c r="I85" i="4" s="1"/>
  <c r="L84" i="4"/>
  <c r="I111" i="4"/>
  <c r="I127" i="4" s="1"/>
  <c r="H43" i="4"/>
  <c r="I43" i="4" s="1"/>
  <c r="H127" i="4"/>
  <c r="G40" i="4" l="1"/>
  <c r="D44" i="4" s="1"/>
  <c r="G44" i="4" s="1"/>
  <c r="I40" i="4"/>
  <c r="G42" i="4" s="1"/>
  <c r="H42" i="4" s="1"/>
  <c r="D42" i="4" l="1"/>
  <c r="H44" i="4"/>
  <c r="H45" i="4" s="1"/>
  <c r="H46" i="4" s="1"/>
  <c r="G45" i="4"/>
  <c r="G46" i="4" s="1"/>
  <c r="D20" i="4" s="1"/>
  <c r="I42" i="4"/>
  <c r="I44" i="4" l="1"/>
  <c r="I45" i="4" s="1"/>
  <c r="I46" i="4" s="1"/>
  <c r="G20" i="4" s="1"/>
  <c r="G25" i="4" l="1"/>
  <c r="H20" i="4"/>
  <c r="C24" i="2"/>
  <c r="C14" i="2"/>
  <c r="I20" i="4" l="1"/>
  <c r="I25" i="4" s="1"/>
  <c r="H25" i="4"/>
  <c r="C15" i="2"/>
  <c r="C12" i="2"/>
  <c r="C18" i="2" l="1"/>
  <c r="B24" i="2"/>
  <c r="B18" i="2"/>
  <c r="B19" i="2" s="1"/>
  <c r="B12" i="2"/>
  <c r="D9" i="2"/>
  <c r="C9" i="2"/>
  <c r="B9" i="2"/>
  <c r="E8" i="2"/>
  <c r="E9" i="2" s="1"/>
  <c r="E7" i="2"/>
  <c r="D7" i="2"/>
  <c r="C7" i="2"/>
  <c r="B7" i="2"/>
  <c r="F6" i="2"/>
  <c r="E5" i="2"/>
  <c r="D5" i="2"/>
  <c r="C4" i="2"/>
  <c r="C5" i="2" s="1"/>
  <c r="B4" i="2"/>
  <c r="B5" i="2" s="1"/>
  <c r="B15" i="2" l="1"/>
  <c r="F7" i="2"/>
  <c r="F9" i="2"/>
  <c r="F5" i="2"/>
  <c r="F4" i="2"/>
  <c r="F8" i="2"/>
  <c r="B16" i="2" l="1"/>
  <c r="B20" i="2" s="1"/>
  <c r="B29" i="2" s="1"/>
  <c r="B34" i="2" s="1"/>
  <c r="C20" i="2"/>
  <c r="C29" i="2" s="1"/>
  <c r="C34" i="2" s="1"/>
  <c r="B12" i="1" l="1"/>
  <c r="C9" i="1"/>
  <c r="B13" i="1" l="1"/>
  <c r="B14" i="1" s="1"/>
  <c r="E7" i="1"/>
  <c r="E5" i="1"/>
  <c r="D7" i="1"/>
  <c r="D5" i="1"/>
  <c r="C7" i="1"/>
  <c r="B16" i="1" l="1"/>
  <c r="B17" i="1" l="1"/>
  <c r="B18" i="1" s="1"/>
  <c r="B22" i="1"/>
  <c r="D9" i="1" l="1"/>
  <c r="B9" i="1"/>
  <c r="B7" i="1"/>
  <c r="C4" i="1"/>
  <c r="C5" i="1" s="1"/>
  <c r="B4" i="1"/>
  <c r="B5" i="1" s="1"/>
  <c r="E8" i="1"/>
  <c r="E9" i="1" s="1"/>
  <c r="F8" i="1"/>
  <c r="F6" i="1"/>
  <c r="F7" i="1" l="1"/>
  <c r="B27" i="1"/>
  <c r="F5" i="1"/>
  <c r="F9" i="1"/>
  <c r="F4" i="1"/>
  <c r="G57" i="4" l="1"/>
  <c r="H57" i="4" l="1"/>
  <c r="I57" i="4"/>
  <c r="H58" i="4"/>
  <c r="H61" i="4"/>
  <c r="I58" i="4"/>
  <c r="I61" i="4"/>
  <c r="G58" i="4"/>
  <c r="G61" i="4" s="1"/>
  <c r="D77" i="4" l="1"/>
  <c r="G77" i="4" s="1"/>
  <c r="D84" i="4"/>
  <c r="G84" i="4" s="1"/>
  <c r="G89" i="4" l="1"/>
  <c r="H84" i="4"/>
  <c r="H89" i="4" s="1"/>
  <c r="H90" i="4" s="1"/>
  <c r="I77" i="4"/>
  <c r="I80" i="4" s="1"/>
  <c r="G80" i="4"/>
  <c r="I84" i="4" l="1"/>
  <c r="I89" i="4" s="1"/>
  <c r="I90" i="4"/>
  <c r="I92" i="4" s="1"/>
  <c r="I130" i="4" s="1"/>
  <c r="J80" i="4"/>
  <c r="G90" i="4"/>
  <c r="H91" i="4"/>
  <c r="H92" i="4" s="1"/>
  <c r="G92" i="4" l="1"/>
  <c r="K90" i="4" s="1"/>
  <c r="K46" i="4" l="1"/>
  <c r="K25" i="4"/>
  <c r="G130" i="4"/>
  <c r="K73" i="4"/>
  <c r="K92" i="4"/>
  <c r="K61" i="4"/>
  <c r="G51" i="7"/>
  <c r="G52" i="7"/>
  <c r="G78" i="7"/>
</calcChain>
</file>

<file path=xl/sharedStrings.xml><?xml version="1.0" encoding="utf-8"?>
<sst xmlns="http://schemas.openxmlformats.org/spreadsheetml/2006/main" count="364" uniqueCount="239">
  <si>
    <t>Recettes Pouchet-Nivert</t>
  </si>
  <si>
    <t>LOGEMENTS ACCESSION</t>
  </si>
  <si>
    <t>LOGEMENTS PLAI/PLUS</t>
  </si>
  <si>
    <t>BUREAUX</t>
  </si>
  <si>
    <t>COMMERCES</t>
  </si>
  <si>
    <t>SDP TOTALE</t>
  </si>
  <si>
    <t>Charge foncière prévisionnelle
en €/m²</t>
  </si>
  <si>
    <t>€/m²</t>
  </si>
  <si>
    <t>DUP 3 / JUILLET 2019
en m²</t>
  </si>
  <si>
    <t>m²</t>
  </si>
  <si>
    <t>RECETTES CRFA 2019
en €</t>
  </si>
  <si>
    <t>OPTION 1
en m²</t>
  </si>
  <si>
    <t>RECETTES
en €</t>
  </si>
  <si>
    <t>OPTION 2
en m²</t>
  </si>
  <si>
    <t>Dépenses Pouchet-Nivert</t>
  </si>
  <si>
    <t>Acquisitions</t>
  </si>
  <si>
    <t>Remploi 11%</t>
  </si>
  <si>
    <t>Marge 5%</t>
  </si>
  <si>
    <t>Evictions commerciales</t>
  </si>
  <si>
    <t>Frais de notaires</t>
  </si>
  <si>
    <t>Relogement</t>
  </si>
  <si>
    <t>Autres frais Acq</t>
  </si>
  <si>
    <t>Préparation Démolitions</t>
  </si>
  <si>
    <t>Démolitions</t>
  </si>
  <si>
    <t>Dépollution</t>
  </si>
  <si>
    <t>VRD</t>
  </si>
  <si>
    <t>Honoraires VRD</t>
  </si>
  <si>
    <t>Concessionnaires</t>
  </si>
  <si>
    <t>Total</t>
  </si>
  <si>
    <t>Actualisation par rapport aux CF de la ZAC</t>
  </si>
  <si>
    <t>màj CFS</t>
  </si>
  <si>
    <t>Remarques</t>
  </si>
  <si>
    <t>déjà acquis</t>
  </si>
  <si>
    <t>selon tableau valorisations foncières Francesca</t>
  </si>
  <si>
    <t>à acquérir</t>
  </si>
  <si>
    <t xml:space="preserve">Estimation revalorisée avec 10% </t>
  </si>
  <si>
    <t>Marge à 10% intégrée au coût d'acquisitions</t>
  </si>
  <si>
    <t>idem</t>
  </si>
  <si>
    <t>2,5% total acquisitions et évictions</t>
  </si>
  <si>
    <t>60 lgts à reloger / base de 5 000€/lgt</t>
  </si>
  <si>
    <t xml:space="preserve">Frais portage foncier? Indemnités accessoires ?  </t>
  </si>
  <si>
    <t xml:space="preserve">sur quelle base ? </t>
  </si>
  <si>
    <t xml:space="preserve">quelle base de surface démolie ? </t>
  </si>
  <si>
    <t xml:space="preserve">quelle surface dépolluée ? </t>
  </si>
  <si>
    <t xml:space="preserve">quel type de VRD ? </t>
  </si>
  <si>
    <t>3% VRD ? (6 à 10% généralement) / mais peu de VRD</t>
  </si>
  <si>
    <t xml:space="preserve">provisions pour branchements / dépose ? </t>
  </si>
  <si>
    <t xml:space="preserve">quid honoraires urbaniste ? ==&gt; intégrés au bilan global ? </t>
  </si>
  <si>
    <t xml:space="preserve">études préalables ? </t>
  </si>
  <si>
    <t>Bilan</t>
  </si>
  <si>
    <t xml:space="preserve">Bilan financier prévisionnel </t>
  </si>
  <si>
    <t>mise à jour</t>
  </si>
  <si>
    <t xml:space="preserve">Données entrantes </t>
  </si>
  <si>
    <t>Surface en m²</t>
  </si>
  <si>
    <t xml:space="preserve">Programme </t>
  </si>
  <si>
    <t xml:space="preserve">Superficie </t>
  </si>
  <si>
    <t>Surface espaces publics yc voiries</t>
  </si>
  <si>
    <t>SP en m²</t>
  </si>
  <si>
    <t>Loyer facial estimé en gestion</t>
  </si>
  <si>
    <t>venelle</t>
  </si>
  <si>
    <t>placettes</t>
  </si>
  <si>
    <t>Lot Libre</t>
  </si>
  <si>
    <t>Surface Espaces verts</t>
  </si>
  <si>
    <t>Emprise max. constructible</t>
  </si>
  <si>
    <t xml:space="preserve">Surface des ilots cessibles </t>
  </si>
  <si>
    <t>DEPENSES</t>
  </si>
  <si>
    <t>Méthode de calcul</t>
  </si>
  <si>
    <t>Bases</t>
  </si>
  <si>
    <t>Ratios</t>
  </si>
  <si>
    <t>Taux TVA</t>
  </si>
  <si>
    <t>Montant HT</t>
  </si>
  <si>
    <t>TVA</t>
  </si>
  <si>
    <t>Montant TTC</t>
  </si>
  <si>
    <t>A</t>
  </si>
  <si>
    <t xml:space="preserve">ETUDES PRE - OPERATIONNELLES </t>
  </si>
  <si>
    <t>Forfait</t>
  </si>
  <si>
    <t>TOTAL Etudes préalables</t>
  </si>
  <si>
    <t>B</t>
  </si>
  <si>
    <t>FONCIER - ACQUISITION ET FRAIS</t>
  </si>
  <si>
    <t>B2</t>
  </si>
  <si>
    <t>Acquisition des terrains et immeubles et frais sur acquisitions</t>
  </si>
  <si>
    <t xml:space="preserve">Acquisition des terrains et immeubles </t>
  </si>
  <si>
    <t>Frais de transfert, indémnités d'expropriation et d'éviction</t>
  </si>
  <si>
    <t>TOTAL Foncier</t>
  </si>
  <si>
    <t>C</t>
  </si>
  <si>
    <t xml:space="preserve">TRAVAUX </t>
  </si>
  <si>
    <t>C1</t>
  </si>
  <si>
    <t>Mise en état des sols</t>
  </si>
  <si>
    <t>Q : dépollution pour le site et archéologie</t>
  </si>
  <si>
    <t>Préparation démolition</t>
  </si>
  <si>
    <t>sur coût travaux démol HT</t>
  </si>
  <si>
    <t>Démolition</t>
  </si>
  <si>
    <t>surface utile acquisitions x forfait</t>
  </si>
  <si>
    <t>surface foncier acquis x forfait</t>
  </si>
  <si>
    <t>Aléas</t>
  </si>
  <si>
    <t>Total travaux mise en état HT</t>
  </si>
  <si>
    <t xml:space="preserve">Sous-Total Mise en Etat des Sols </t>
  </si>
  <si>
    <t>C2</t>
  </si>
  <si>
    <t>Travaux de construction</t>
  </si>
  <si>
    <t>Neuf</t>
  </si>
  <si>
    <t>Restructuration et réhabilitation</t>
  </si>
  <si>
    <t>TOTAL TRAVAUX</t>
  </si>
  <si>
    <t>D</t>
  </si>
  <si>
    <t>HONORAIRES TECHNIQUES</t>
  </si>
  <si>
    <t>MOE</t>
  </si>
  <si>
    <t xml:space="preserve">Visa architecture </t>
  </si>
  <si>
    <t>Géomètre</t>
  </si>
  <si>
    <t>SPS</t>
  </si>
  <si>
    <t>TOTAL Honoraires techniques</t>
  </si>
  <si>
    <t>E</t>
  </si>
  <si>
    <t>FRAIS ANNEXES</t>
  </si>
  <si>
    <t xml:space="preserve">Dépenses réalisées </t>
  </si>
  <si>
    <t>Mission forfaitaire</t>
  </si>
  <si>
    <t>Commercialisation</t>
  </si>
  <si>
    <t>Frais Généraux &amp; Financiers</t>
  </si>
  <si>
    <t>Frais de comercialisation</t>
  </si>
  <si>
    <t>CA HT</t>
  </si>
  <si>
    <t>Frais conseils juridiques</t>
  </si>
  <si>
    <t>Frais financiers</t>
  </si>
  <si>
    <t>TOTAL Dépenses HT sans frais Annexes</t>
  </si>
  <si>
    <t>Garantie financière</t>
  </si>
  <si>
    <t>Impôts, taxes et frais de portage foncier</t>
  </si>
  <si>
    <t>Assurances</t>
  </si>
  <si>
    <t>Divers / Imprévus</t>
  </si>
  <si>
    <t>Sous-total Frais Généraux &amp; Financiers</t>
  </si>
  <si>
    <t>TOTAL FRAIS ANNEXES</t>
  </si>
  <si>
    <t>TOTAL DEPENSES / PRIX DE REVIENT</t>
  </si>
  <si>
    <t>Recettes</t>
  </si>
  <si>
    <t>Cessions</t>
  </si>
  <si>
    <t>Cessions foncières ou immobilières</t>
  </si>
  <si>
    <t>Subventions</t>
  </si>
  <si>
    <t>Participations</t>
  </si>
  <si>
    <t>Nom projet - MAJ</t>
  </si>
  <si>
    <t>commentaires</t>
  </si>
  <si>
    <t>Superficie terrain</t>
  </si>
  <si>
    <t xml:space="preserve">Surface foncier à acquérir </t>
  </si>
  <si>
    <t xml:space="preserve">Nbe logements </t>
  </si>
  <si>
    <t>Maisons individuelles groupées</t>
  </si>
  <si>
    <t>Logements intermédiaires</t>
  </si>
  <si>
    <t xml:space="preserve">LLS </t>
  </si>
  <si>
    <t>Logement libre</t>
  </si>
  <si>
    <t>pl. stat véhicule (0,5/lgt)</t>
  </si>
  <si>
    <t>constituer des frais d'études</t>
  </si>
  <si>
    <t>Etudes foncières</t>
  </si>
  <si>
    <t>Mise à jour étude d'impact</t>
  </si>
  <si>
    <t>réel</t>
  </si>
  <si>
    <t>Etudes et sondages dépollution</t>
  </si>
  <si>
    <t>au m²</t>
  </si>
  <si>
    <t>Architecte - Urbaniste</t>
  </si>
  <si>
    <t>forfait sur base BPU</t>
  </si>
  <si>
    <t>Autres études, diagnostics</t>
  </si>
  <si>
    <t>provisions</t>
  </si>
  <si>
    <t>B1</t>
  </si>
  <si>
    <t xml:space="preserve">Evictions et relogements </t>
  </si>
  <si>
    <t>Relogements</t>
  </si>
  <si>
    <t>forfait / lgt</t>
  </si>
  <si>
    <t>Sous-total Frais évictions et relogements</t>
  </si>
  <si>
    <t>-Foncier déjà acquis</t>
  </si>
  <si>
    <t>Acquisitions Ville</t>
  </si>
  <si>
    <t>Acquisitions privées</t>
  </si>
  <si>
    <t>-Foncier à acquérir</t>
  </si>
  <si>
    <t>Acquisitions biens privés</t>
  </si>
  <si>
    <t>Sous-total Acquisitions</t>
  </si>
  <si>
    <t>B3</t>
  </si>
  <si>
    <t>Frais sur acquisitions</t>
  </si>
  <si>
    <t>Frais d'actes</t>
  </si>
  <si>
    <t>sur acquisitions, marges et réemploi TTC</t>
  </si>
  <si>
    <t>ajout frais de notaires</t>
  </si>
  <si>
    <t>Frais de portage foncier (impôts, assurances, entretien..)</t>
  </si>
  <si>
    <t>sur acquisitions  TTC</t>
  </si>
  <si>
    <t>Autres frais sur acquisitions (procédures…)</t>
  </si>
  <si>
    <t>Sous-total Frais Acquisitions</t>
  </si>
  <si>
    <t>Travaux d'Aménagement</t>
  </si>
  <si>
    <t>Travaux VRD</t>
  </si>
  <si>
    <t>Total travaux Aménagement HT</t>
  </si>
  <si>
    <t>Sous-Total Travaux VRD</t>
  </si>
  <si>
    <t>C3</t>
  </si>
  <si>
    <t xml:space="preserve">Ouvrages </t>
  </si>
  <si>
    <t>Reprise sinistres parking Auboin</t>
  </si>
  <si>
    <t>selon estimation inclus dans CGEST</t>
  </si>
  <si>
    <t>MOE Dépollution / Démolition</t>
  </si>
  <si>
    <t>Travaux dépol/démol HT</t>
  </si>
  <si>
    <t>Sous-Total Honoraires "Mise en état des sols"</t>
  </si>
  <si>
    <t>Travaux VRD HT</t>
  </si>
  <si>
    <t>On retire honoraire améangeur</t>
  </si>
  <si>
    <t>Et on reconstitue les honoraires nous-mêmes</t>
  </si>
  <si>
    <t>Etudes environnementales</t>
  </si>
  <si>
    <t>Sous-Total Honoraires "VRD"</t>
  </si>
  <si>
    <t>Total honoraires HT</t>
  </si>
  <si>
    <t>Honoraires Aménageur</t>
  </si>
  <si>
    <t>études, foncier, état des sols, VRD, honoraires, frais de gestion &amp;communucation</t>
  </si>
  <si>
    <t>Période d'étude</t>
  </si>
  <si>
    <t>recettes</t>
  </si>
  <si>
    <t>Sous-total Honoraires Aménageur</t>
  </si>
  <si>
    <t>Frais de communication</t>
  </si>
  <si>
    <t>TVA Résiduelle</t>
  </si>
  <si>
    <t>RECETTES</t>
  </si>
  <si>
    <t xml:space="preserve">CESSIONS DE CHARGES FONCIERES </t>
  </si>
  <si>
    <t>Logements</t>
  </si>
  <si>
    <t>66 lots libres</t>
  </si>
  <si>
    <t>SDP x CF</t>
  </si>
  <si>
    <t>dont LLS</t>
  </si>
  <si>
    <t>dont libre</t>
  </si>
  <si>
    <t>10 logements intermédaires aidés</t>
  </si>
  <si>
    <t>dont Libre</t>
  </si>
  <si>
    <t>7 maisons individuelles groupées - aidés</t>
  </si>
  <si>
    <t>Sous-total Logements</t>
  </si>
  <si>
    <t>Commerces et services</t>
  </si>
  <si>
    <t>commerces</t>
  </si>
  <si>
    <t>Sous-total commerces et services</t>
  </si>
  <si>
    <t>TOTAL CESSIONS DE CHARGES FONCIERE</t>
  </si>
  <si>
    <t>PARTICIPATIONS ET SUBVENTIONS</t>
  </si>
  <si>
    <t>Participation collectivité</t>
  </si>
  <si>
    <t xml:space="preserve">Participation constructeur </t>
  </si>
  <si>
    <t>Sous-total participations</t>
  </si>
  <si>
    <t>Sous-total subventions</t>
  </si>
  <si>
    <t>TOTAL PARTICIPATIONS ET SUBVENTIONS</t>
  </si>
  <si>
    <t>DEDOMMAGEMENT SINISTRE</t>
  </si>
  <si>
    <t xml:space="preserve">Dédommagement sinistres parking </t>
  </si>
  <si>
    <t xml:space="preserve">Selon hypothèse min </t>
  </si>
  <si>
    <t>hypohtèse min ( travaux et honoraires) - dépend procédure juridique</t>
  </si>
  <si>
    <t>TOTAL REMBOURSEMENT DOMMAGE SINISTRE</t>
  </si>
  <si>
    <t>TOTAL RECETTES / PRIX TOTAL DE VENTE</t>
  </si>
  <si>
    <t>rentré en dur</t>
  </si>
  <si>
    <t>RESULTAT D'EXPLOITATION</t>
  </si>
  <si>
    <t>Maisons intermédiaires groupées</t>
  </si>
  <si>
    <t>Logement intermédiaires</t>
  </si>
  <si>
    <t xml:space="preserve">Lots libres </t>
  </si>
  <si>
    <t>Moyenne</t>
  </si>
  <si>
    <t>Somme</t>
  </si>
  <si>
    <t>Concession de revitalisation artisanale et commerciale - bilan économique</t>
  </si>
  <si>
    <t xml:space="preserve">ETUDES </t>
  </si>
  <si>
    <t xml:space="preserve">Notaires </t>
  </si>
  <si>
    <t>à compléter et détailler</t>
  </si>
  <si>
    <t xml:space="preserve">Produit d'exploitation </t>
  </si>
  <si>
    <t xml:space="preserve">Sous-Total Travaux de Construction </t>
  </si>
  <si>
    <t>Rémunération du concessionnaire</t>
  </si>
  <si>
    <t>Sous-total rémunération concessionnaire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</si>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</sst>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\ &quot;€&quot;;\-#,##0\ &quot;€&quot;"/>
    <numFmt numFmtId="165" formatCode="#,##0\ &quot;€&quot;;[Red]\-#,##0\ &quot;€&quot;"/>
    <numFmt numFmtId="166" formatCode="_-* #,##0.00\ &quot;€&quot;_-;\-* #,##0.00\ &quot;€&quot;_-;_-* &quot;-&quot;??\ &quot;€&quot;_-;_-@_-"/>
    <numFmt numFmtId="167" formatCode="_-* #,##0.00_-;\-* #,##0.00_-;_-* &quot;-&quot;??_-;_-@_-"/>
    <numFmt numFmtId="168" formatCode="_-* #,##0.00\ _€_-;\-* #,##0.00\ _€_-;_-* &quot;-&quot;??\ _€_-;_-@_-"/>
    <numFmt numFmtId="169" formatCode="_-* #,##0\ [$€-40C]_-;\-* #,##0\ [$€-40C]_-;_-* &quot;-&quot;??\ [$€-40C]_-;_-@_-"/>
    <numFmt numFmtId="170" formatCode="_-* #,##0.00\ [$€-40C]_-;\-* #,##0.00\ [$€-40C]_-;_-* &quot;-&quot;??\ [$€-40C]_-;_-@_-"/>
    <numFmt numFmtId="171" formatCode="#,##0&quot;m²&quot;"/>
    <numFmt numFmtId="172" formatCode="#,##0&quot; €/m²&quot;"/>
    <numFmt numFmtId="173" formatCode="#,##0&quot; m²&quot;"/>
    <numFmt numFmtId="174" formatCode="#,##0&quot; lgts&quot;"/>
    <numFmt numFmtId="175" formatCode="0.0%"/>
    <numFmt numFmtId="176" formatCode="#,##0&quot; €/lot²&quot;"/>
    <numFmt numFmtId="177" formatCode="_-* #,##0_-;\-* #,##0_-;_-* &quot;-&quot;??_-;_-@_-"/>
    <numFmt numFmtId="178" formatCode="_-* #,##0\ &quot;€&quot;_-;\-* #,##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0" fontId="15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2">
    <xf numFmtId="0" fontId="0" fillId="0" borderId="0" xfId="0"/>
    <xf numFmtId="168" fontId="0" fillId="0" borderId="0" xfId="0" applyNumberFormat="1"/>
    <xf numFmtId="168" fontId="0" fillId="3" borderId="1" xfId="0" applyNumberFormat="1" applyFill="1" applyBorder="1"/>
    <xf numFmtId="167" fontId="0" fillId="3" borderId="1" xfId="1" applyFont="1" applyFill="1" applyBorder="1" applyAlignment="1">
      <alignment horizontal="center"/>
    </xf>
    <xf numFmtId="169" fontId="3" fillId="3" borderId="1" xfId="0" applyNumberFormat="1" applyFont="1" applyFill="1" applyBorder="1"/>
    <xf numFmtId="168" fontId="4" fillId="4" borderId="1" xfId="0" applyNumberFormat="1" applyFont="1" applyFill="1" applyBorder="1"/>
    <xf numFmtId="167" fontId="4" fillId="4" borderId="1" xfId="1" applyFont="1" applyFill="1" applyBorder="1" applyAlignment="1">
      <alignment horizontal="center"/>
    </xf>
    <xf numFmtId="169" fontId="5" fillId="4" borderId="1" xfId="0" applyNumberFormat="1" applyFont="1" applyFill="1" applyBorder="1"/>
    <xf numFmtId="165" fontId="9" fillId="6" borderId="3" xfId="0" applyNumberFormat="1" applyFont="1" applyFill="1" applyBorder="1"/>
    <xf numFmtId="0" fontId="9" fillId="6" borderId="2" xfId="0" applyFont="1" applyFill="1" applyBorder="1"/>
    <xf numFmtId="0" fontId="0" fillId="5" borderId="4" xfId="0" applyFill="1" applyBorder="1"/>
    <xf numFmtId="165" fontId="0" fillId="5" borderId="5" xfId="0" applyNumberFormat="1" applyFill="1" applyBorder="1"/>
    <xf numFmtId="0" fontId="0" fillId="5" borderId="6" xfId="0" applyFill="1" applyBorder="1"/>
    <xf numFmtId="165" fontId="0" fillId="5" borderId="7" xfId="0" applyNumberFormat="1" applyFill="1" applyBorder="1"/>
    <xf numFmtId="0" fontId="0" fillId="5" borderId="6" xfId="0" applyFill="1" applyBorder="1" applyAlignment="1">
      <alignment horizontal="left"/>
    </xf>
    <xf numFmtId="0" fontId="0" fillId="5" borderId="8" xfId="0" applyFill="1" applyBorder="1" applyAlignment="1">
      <alignment horizontal="left"/>
    </xf>
    <xf numFmtId="165" fontId="0" fillId="5" borderId="9" xfId="0" applyNumberFormat="1" applyFill="1" applyBorder="1"/>
    <xf numFmtId="165" fontId="0" fillId="0" borderId="0" xfId="0" applyNumberFormat="1"/>
    <xf numFmtId="0" fontId="0" fillId="0" borderId="11" xfId="0" applyBorder="1"/>
    <xf numFmtId="0" fontId="0" fillId="0" borderId="10" xfId="0" applyBorder="1"/>
    <xf numFmtId="168" fontId="11" fillId="2" borderId="1" xfId="0" applyNumberFormat="1" applyFont="1" applyFill="1" applyBorder="1"/>
    <xf numFmtId="167" fontId="11" fillId="2" borderId="1" xfId="1" applyFont="1" applyFill="1" applyBorder="1" applyAlignment="1">
      <alignment horizontal="center"/>
    </xf>
    <xf numFmtId="167" fontId="11" fillId="2" borderId="1" xfId="0" applyNumberFormat="1" applyFont="1" applyFill="1" applyBorder="1"/>
    <xf numFmtId="169" fontId="13" fillId="2" borderId="1" xfId="0" applyNumberFormat="1" applyFont="1" applyFill="1" applyBorder="1"/>
    <xf numFmtId="0" fontId="0" fillId="7" borderId="1" xfId="0" applyFill="1" applyBorder="1"/>
    <xf numFmtId="0" fontId="2" fillId="7" borderId="1" xfId="0" applyFont="1" applyFill="1" applyBorder="1" applyAlignment="1">
      <alignment horizontal="center" vertical="center"/>
    </xf>
    <xf numFmtId="170" fontId="2" fillId="7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2" fillId="3" borderId="1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170" fontId="2" fillId="8" borderId="1" xfId="0" applyNumberFormat="1" applyFont="1" applyFill="1" applyBorder="1" applyAlignment="1">
      <alignment horizontal="center" vertical="center"/>
    </xf>
    <xf numFmtId="165" fontId="0" fillId="5" borderId="10" xfId="0" applyNumberFormat="1" applyFill="1" applyBorder="1"/>
    <xf numFmtId="165" fontId="0" fillId="5" borderId="19" xfId="0" applyNumberFormat="1" applyFill="1" applyBorder="1"/>
    <xf numFmtId="165" fontId="0" fillId="5" borderId="23" xfId="0" applyNumberFormat="1" applyFill="1" applyBorder="1"/>
    <xf numFmtId="165" fontId="9" fillId="6" borderId="28" xfId="0" applyNumberFormat="1" applyFont="1" applyFill="1" applyBorder="1"/>
    <xf numFmtId="165" fontId="0" fillId="10" borderId="10" xfId="0" applyNumberFormat="1" applyFill="1" applyBorder="1"/>
    <xf numFmtId="0" fontId="0" fillId="10" borderId="12" xfId="0" applyFill="1" applyBorder="1" applyAlignment="1">
      <alignment horizontal="right"/>
    </xf>
    <xf numFmtId="165" fontId="0" fillId="10" borderId="13" xfId="0" applyNumberForma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horizontal="left"/>
    </xf>
    <xf numFmtId="0" fontId="2" fillId="11" borderId="23" xfId="0" applyFont="1" applyFill="1" applyBorder="1"/>
    <xf numFmtId="0" fontId="2" fillId="12" borderId="10" xfId="0" applyFont="1" applyFill="1" applyBorder="1" applyAlignment="1">
      <alignment horizontal="right"/>
    </xf>
    <xf numFmtId="0" fontId="2" fillId="13" borderId="11" xfId="0" applyFont="1" applyFill="1" applyBorder="1" applyAlignment="1">
      <alignment horizontal="right"/>
    </xf>
    <xf numFmtId="0" fontId="2" fillId="9" borderId="11" xfId="0" applyFont="1" applyFill="1" applyBorder="1"/>
    <xf numFmtId="0" fontId="2" fillId="0" borderId="11" xfId="0" applyFont="1" applyBorder="1" applyAlignment="1">
      <alignment horizontal="right"/>
    </xf>
    <xf numFmtId="0" fontId="0" fillId="11" borderId="22" xfId="0" applyFill="1" applyBorder="1"/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11" borderId="8" xfId="0" applyFill="1" applyBorder="1"/>
    <xf numFmtId="0" fontId="0" fillId="0" borderId="6" xfId="0" applyBorder="1"/>
    <xf numFmtId="0" fontId="2" fillId="0" borderId="44" xfId="0" applyFont="1" applyBorder="1" applyAlignment="1">
      <alignment horizontal="center" vertical="center"/>
    </xf>
    <xf numFmtId="0" fontId="0" fillId="0" borderId="46" xfId="0" applyBorder="1"/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41" xfId="0" applyBorder="1"/>
    <xf numFmtId="0" fontId="16" fillId="0" borderId="0" xfId="0" applyFont="1"/>
    <xf numFmtId="0" fontId="0" fillId="0" borderId="52" xfId="0" applyBorder="1"/>
    <xf numFmtId="0" fontId="0" fillId="0" borderId="28" xfId="0" applyBorder="1" applyAlignment="1">
      <alignment horizontal="center"/>
    </xf>
    <xf numFmtId="0" fontId="0" fillId="0" borderId="28" xfId="0" applyBorder="1"/>
    <xf numFmtId="0" fontId="0" fillId="0" borderId="3" xfId="0" applyBorder="1"/>
    <xf numFmtId="0" fontId="0" fillId="0" borderId="51" xfId="0" applyBorder="1"/>
    <xf numFmtId="0" fontId="2" fillId="11" borderId="20" xfId="0" applyFont="1" applyFill="1" applyBorder="1"/>
    <xf numFmtId="171" fontId="0" fillId="0" borderId="1" xfId="0" applyNumberFormat="1" applyBorder="1" applyAlignment="1">
      <alignment horizontal="center"/>
    </xf>
    <xf numFmtId="171" fontId="0" fillId="0" borderId="31" xfId="0" applyNumberFormat="1" applyBorder="1" applyAlignment="1">
      <alignment horizontal="center"/>
    </xf>
    <xf numFmtId="0" fontId="0" fillId="0" borderId="12" xfId="0" applyBorder="1"/>
    <xf numFmtId="166" fontId="0" fillId="11" borderId="8" xfId="3" applyFont="1" applyFill="1" applyBorder="1"/>
    <xf numFmtId="166" fontId="0" fillId="11" borderId="22" xfId="3" applyFont="1" applyFill="1" applyBorder="1"/>
    <xf numFmtId="166" fontId="0" fillId="0" borderId="39" xfId="3" applyFont="1" applyBorder="1"/>
    <xf numFmtId="166" fontId="0" fillId="0" borderId="25" xfId="3" applyFont="1" applyBorder="1"/>
    <xf numFmtId="166" fontId="0" fillId="12" borderId="12" xfId="3" applyFont="1" applyFill="1" applyBorder="1"/>
    <xf numFmtId="166" fontId="0" fillId="12" borderId="26" xfId="3" applyFont="1" applyFill="1" applyBorder="1"/>
    <xf numFmtId="166" fontId="0" fillId="0" borderId="39" xfId="3" applyFont="1" applyFill="1" applyBorder="1"/>
    <xf numFmtId="166" fontId="0" fillId="0" borderId="25" xfId="3" applyFont="1" applyFill="1" applyBorder="1"/>
    <xf numFmtId="166" fontId="0" fillId="9" borderId="39" xfId="3" applyFont="1" applyFill="1" applyBorder="1"/>
    <xf numFmtId="166" fontId="0" fillId="9" borderId="25" xfId="3" applyFont="1" applyFill="1" applyBorder="1"/>
    <xf numFmtId="166" fontId="2" fillId="12" borderId="12" xfId="3" applyFont="1" applyFill="1" applyBorder="1"/>
    <xf numFmtId="166" fontId="2" fillId="12" borderId="26" xfId="3" applyFont="1" applyFill="1" applyBorder="1"/>
    <xf numFmtId="166" fontId="2" fillId="9" borderId="41" xfId="3" applyFont="1" applyFill="1" applyBorder="1"/>
    <xf numFmtId="166" fontId="2" fillId="9" borderId="11" xfId="3" applyFont="1" applyFill="1" applyBorder="1"/>
    <xf numFmtId="166" fontId="2" fillId="9" borderId="40" xfId="3" applyFont="1" applyFill="1" applyBorder="1"/>
    <xf numFmtId="166" fontId="2" fillId="13" borderId="41" xfId="3" applyFont="1" applyFill="1" applyBorder="1" applyAlignment="1">
      <alignment horizontal="right"/>
    </xf>
    <xf numFmtId="166" fontId="2" fillId="13" borderId="11" xfId="3" applyFont="1" applyFill="1" applyBorder="1" applyAlignment="1">
      <alignment horizontal="right"/>
    </xf>
    <xf numFmtId="166" fontId="2" fillId="13" borderId="40" xfId="3" applyFont="1" applyFill="1" applyBorder="1" applyAlignment="1">
      <alignment horizontal="right"/>
    </xf>
    <xf numFmtId="166" fontId="0" fillId="0" borderId="41" xfId="3" applyFont="1" applyBorder="1"/>
    <xf numFmtId="166" fontId="2" fillId="12" borderId="42" xfId="3" applyFont="1" applyFill="1" applyBorder="1" applyAlignment="1">
      <alignment horizontal="right"/>
    </xf>
    <xf numFmtId="166" fontId="2" fillId="12" borderId="10" xfId="3" applyFont="1" applyFill="1" applyBorder="1" applyAlignment="1">
      <alignment horizontal="right"/>
    </xf>
    <xf numFmtId="166" fontId="2" fillId="12" borderId="13" xfId="3" applyFont="1" applyFill="1" applyBorder="1" applyAlignment="1">
      <alignment horizontal="right"/>
    </xf>
    <xf numFmtId="166" fontId="2" fillId="0" borderId="41" xfId="3" applyFont="1" applyFill="1" applyBorder="1" applyAlignment="1">
      <alignment horizontal="right"/>
    </xf>
    <xf numFmtId="166" fontId="2" fillId="0" borderId="11" xfId="3" applyFont="1" applyFill="1" applyBorder="1" applyAlignment="1">
      <alignment horizontal="right"/>
    </xf>
    <xf numFmtId="166" fontId="2" fillId="11" borderId="43" xfId="3" applyFont="1" applyFill="1" applyBorder="1"/>
    <xf numFmtId="166" fontId="2" fillId="11" borderId="23" xfId="3" applyFont="1" applyFill="1" applyBorder="1"/>
    <xf numFmtId="166" fontId="2" fillId="11" borderId="9" xfId="3" applyFont="1" applyFill="1" applyBorder="1"/>
    <xf numFmtId="166" fontId="2" fillId="11" borderId="8" xfId="3" applyFont="1" applyFill="1" applyBorder="1"/>
    <xf numFmtId="166" fontId="2" fillId="11" borderId="22" xfId="3" applyFont="1" applyFill="1" applyBorder="1"/>
    <xf numFmtId="166" fontId="2" fillId="9" borderId="39" xfId="3" applyFont="1" applyFill="1" applyBorder="1"/>
    <xf numFmtId="166" fontId="2" fillId="9" borderId="25" xfId="3" applyFont="1" applyFill="1" applyBorder="1"/>
    <xf numFmtId="166" fontId="0" fillId="0" borderId="40" xfId="3" applyFont="1" applyBorder="1"/>
    <xf numFmtId="166" fontId="2" fillId="13" borderId="39" xfId="3" applyFont="1" applyFill="1" applyBorder="1" applyAlignment="1">
      <alignment horizontal="right"/>
    </xf>
    <xf numFmtId="166" fontId="2" fillId="13" borderId="25" xfId="3" applyFont="1" applyFill="1" applyBorder="1" applyAlignment="1">
      <alignment horizontal="right"/>
    </xf>
    <xf numFmtId="166" fontId="2" fillId="12" borderId="12" xfId="3" applyFont="1" applyFill="1" applyBorder="1" applyAlignment="1">
      <alignment horizontal="right"/>
    </xf>
    <xf numFmtId="166" fontId="2" fillId="12" borderId="26" xfId="3" applyFont="1" applyFill="1" applyBorder="1" applyAlignment="1">
      <alignment horizontal="right"/>
    </xf>
    <xf numFmtId="166" fontId="2" fillId="0" borderId="39" xfId="3" applyFont="1" applyFill="1" applyBorder="1"/>
    <xf numFmtId="166" fontId="2" fillId="0" borderId="25" xfId="3" applyFont="1" applyFill="1" applyBorder="1"/>
    <xf numFmtId="166" fontId="2" fillId="0" borderId="40" xfId="3" applyFont="1" applyFill="1" applyBorder="1"/>
    <xf numFmtId="166" fontId="2" fillId="12" borderId="48" xfId="3" applyFont="1" applyFill="1" applyBorder="1" applyAlignment="1">
      <alignment horizontal="right"/>
    </xf>
    <xf numFmtId="166" fontId="2" fillId="12" borderId="49" xfId="3" applyFont="1" applyFill="1" applyBorder="1" applyAlignment="1">
      <alignment horizontal="right"/>
    </xf>
    <xf numFmtId="166" fontId="2" fillId="12" borderId="50" xfId="3" applyFont="1" applyFill="1" applyBorder="1" applyAlignment="1">
      <alignment horizontal="right"/>
    </xf>
    <xf numFmtId="166" fontId="2" fillId="13" borderId="30" xfId="3" applyFont="1" applyFill="1" applyBorder="1" applyAlignment="1">
      <alignment horizontal="right"/>
    </xf>
    <xf numFmtId="166" fontId="2" fillId="13" borderId="46" xfId="3" applyFont="1" applyFill="1" applyBorder="1" applyAlignment="1">
      <alignment horizontal="right"/>
    </xf>
    <xf numFmtId="0" fontId="2" fillId="14" borderId="53" xfId="0" applyFont="1" applyFill="1" applyBorder="1" applyAlignment="1">
      <alignment horizontal="left"/>
    </xf>
    <xf numFmtId="0" fontId="2" fillId="15" borderId="53" xfId="0" applyFont="1" applyFill="1" applyBorder="1" applyAlignment="1">
      <alignment horizontal="left"/>
    </xf>
    <xf numFmtId="0" fontId="3" fillId="0" borderId="34" xfId="0" applyFont="1" applyBorder="1" applyAlignment="1">
      <alignment horizontal="center"/>
    </xf>
    <xf numFmtId="0" fontId="3" fillId="11" borderId="33" xfId="0" applyFont="1" applyFill="1" applyBorder="1" applyAlignment="1">
      <alignment horizontal="center"/>
    </xf>
    <xf numFmtId="0" fontId="3" fillId="12" borderId="35" xfId="0" applyFont="1" applyFill="1" applyBorder="1" applyAlignment="1">
      <alignment horizontal="center"/>
    </xf>
    <xf numFmtId="0" fontId="3" fillId="9" borderId="34" xfId="0" applyFont="1" applyFill="1" applyBorder="1" applyAlignment="1">
      <alignment horizontal="center"/>
    </xf>
    <xf numFmtId="0" fontId="3" fillId="13" borderId="34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6" fillId="13" borderId="34" xfId="0" applyFont="1" applyFill="1" applyBorder="1" applyAlignment="1">
      <alignment horizontal="center"/>
    </xf>
    <xf numFmtId="0" fontId="6" fillId="12" borderId="35" xfId="0" applyFont="1" applyFill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11" borderId="33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3" fillId="8" borderId="34" xfId="0" applyFont="1" applyFill="1" applyBorder="1" applyAlignment="1">
      <alignment horizontal="center"/>
    </xf>
    <xf numFmtId="0" fontId="0" fillId="0" borderId="11" xfId="0" quotePrefix="1" applyBorder="1" applyAlignment="1">
      <alignment horizontal="left"/>
    </xf>
    <xf numFmtId="169" fontId="0" fillId="0" borderId="0" xfId="0" applyNumberFormat="1"/>
    <xf numFmtId="166" fontId="0" fillId="8" borderId="39" xfId="3" applyFont="1" applyFill="1" applyBorder="1"/>
    <xf numFmtId="166" fontId="2" fillId="13" borderId="39" xfId="3" applyFont="1" applyFill="1" applyBorder="1"/>
    <xf numFmtId="166" fontId="2" fillId="13" borderId="25" xfId="3" applyFont="1" applyFill="1" applyBorder="1"/>
    <xf numFmtId="0" fontId="18" fillId="0" borderId="11" xfId="0" quotePrefix="1" applyFont="1" applyBorder="1" applyAlignment="1">
      <alignment horizontal="right"/>
    </xf>
    <xf numFmtId="0" fontId="18" fillId="0" borderId="34" xfId="0" applyFont="1" applyBorder="1" applyAlignment="1">
      <alignment horizontal="center"/>
    </xf>
    <xf numFmtId="166" fontId="18" fillId="0" borderId="39" xfId="3" applyFont="1" applyBorder="1"/>
    <xf numFmtId="166" fontId="18" fillId="0" borderId="25" xfId="3" applyFont="1" applyBorder="1"/>
    <xf numFmtId="166" fontId="4" fillId="0" borderId="39" xfId="3" applyFont="1" applyBorder="1"/>
    <xf numFmtId="166" fontId="4" fillId="0" borderId="25" xfId="3" applyFont="1" applyBorder="1"/>
    <xf numFmtId="0" fontId="0" fillId="0" borderId="0" xfId="0" applyAlignment="1">
      <alignment wrapText="1"/>
    </xf>
    <xf numFmtId="9" fontId="0" fillId="11" borderId="9" xfId="4" applyFont="1" applyFill="1" applyBorder="1"/>
    <xf numFmtId="0" fontId="19" fillId="0" borderId="39" xfId="0" applyFont="1" applyBorder="1"/>
    <xf numFmtId="0" fontId="19" fillId="0" borderId="25" xfId="0" applyFont="1" applyBorder="1"/>
    <xf numFmtId="9" fontId="19" fillId="0" borderId="40" xfId="4" applyFont="1" applyBorder="1"/>
    <xf numFmtId="0" fontId="19" fillId="12" borderId="12" xfId="0" applyFont="1" applyFill="1" applyBorder="1"/>
    <xf numFmtId="0" fontId="19" fillId="12" borderId="26" xfId="0" applyFont="1" applyFill="1" applyBorder="1"/>
    <xf numFmtId="9" fontId="19" fillId="12" borderId="13" xfId="4" applyFont="1" applyFill="1" applyBorder="1"/>
    <xf numFmtId="9" fontId="19" fillId="0" borderId="40" xfId="4" applyFont="1" applyFill="1" applyBorder="1"/>
    <xf numFmtId="0" fontId="19" fillId="11" borderId="8" xfId="0" applyFont="1" applyFill="1" applyBorder="1"/>
    <xf numFmtId="0" fontId="19" fillId="11" borderId="22" xfId="0" applyFont="1" applyFill="1" applyBorder="1"/>
    <xf numFmtId="9" fontId="19" fillId="11" borderId="9" xfId="4" applyFont="1" applyFill="1" applyBorder="1"/>
    <xf numFmtId="0" fontId="19" fillId="9" borderId="39" xfId="0" applyFont="1" applyFill="1" applyBorder="1"/>
    <xf numFmtId="0" fontId="19" fillId="9" borderId="25" xfId="0" applyFont="1" applyFill="1" applyBorder="1"/>
    <xf numFmtId="9" fontId="19" fillId="9" borderId="40" xfId="4" applyFont="1" applyFill="1" applyBorder="1"/>
    <xf numFmtId="166" fontId="19" fillId="0" borderId="39" xfId="0" applyNumberFormat="1" applyFont="1" applyBorder="1"/>
    <xf numFmtId="9" fontId="19" fillId="0" borderId="25" xfId="0" applyNumberFormat="1" applyFont="1" applyBorder="1"/>
    <xf numFmtId="164" fontId="19" fillId="0" borderId="25" xfId="0" applyNumberFormat="1" applyFont="1" applyBorder="1"/>
    <xf numFmtId="0" fontId="19" fillId="13" borderId="39" xfId="0" applyFont="1" applyFill="1" applyBorder="1"/>
    <xf numFmtId="0" fontId="19" fillId="13" borderId="25" xfId="0" applyFont="1" applyFill="1" applyBorder="1"/>
    <xf numFmtId="9" fontId="19" fillId="13" borderId="40" xfId="4" applyFont="1" applyFill="1" applyBorder="1"/>
    <xf numFmtId="0" fontId="20" fillId="0" borderId="39" xfId="0" applyFont="1" applyBorder="1"/>
    <xf numFmtId="0" fontId="20" fillId="0" borderId="25" xfId="0" applyFont="1" applyBorder="1"/>
    <xf numFmtId="9" fontId="20" fillId="0" borderId="40" xfId="4" applyFont="1" applyBorder="1"/>
    <xf numFmtId="10" fontId="19" fillId="0" borderId="25" xfId="0" applyNumberFormat="1" applyFont="1" applyBorder="1"/>
    <xf numFmtId="0" fontId="21" fillId="9" borderId="41" xfId="0" applyFont="1" applyFill="1" applyBorder="1"/>
    <xf numFmtId="0" fontId="21" fillId="9" borderId="11" xfId="0" applyFont="1" applyFill="1" applyBorder="1"/>
    <xf numFmtId="9" fontId="21" fillId="9" borderId="40" xfId="4" applyFont="1" applyFill="1" applyBorder="1"/>
    <xf numFmtId="173" fontId="19" fillId="0" borderId="39" xfId="0" applyNumberFormat="1" applyFont="1" applyBorder="1"/>
    <xf numFmtId="172" fontId="19" fillId="0" borderId="25" xfId="0" applyNumberFormat="1" applyFont="1" applyBorder="1"/>
    <xf numFmtId="171" fontId="19" fillId="0" borderId="39" xfId="0" applyNumberFormat="1" applyFont="1" applyBorder="1"/>
    <xf numFmtId="0" fontId="21" fillId="13" borderId="41" xfId="0" applyFont="1" applyFill="1" applyBorder="1" applyAlignment="1">
      <alignment horizontal="right"/>
    </xf>
    <xf numFmtId="0" fontId="21" fillId="13" borderId="11" xfId="0" applyFont="1" applyFill="1" applyBorder="1" applyAlignment="1">
      <alignment horizontal="right"/>
    </xf>
    <xf numFmtId="9" fontId="21" fillId="13" borderId="40" xfId="4" applyFont="1" applyFill="1" applyBorder="1" applyAlignment="1">
      <alignment horizontal="right"/>
    </xf>
    <xf numFmtId="166" fontId="19" fillId="0" borderId="41" xfId="0" applyNumberFormat="1" applyFont="1" applyBorder="1"/>
    <xf numFmtId="9" fontId="19" fillId="0" borderId="11" xfId="0" applyNumberFormat="1" applyFont="1" applyBorder="1"/>
    <xf numFmtId="0" fontId="21" fillId="12" borderId="42" xfId="0" applyFont="1" applyFill="1" applyBorder="1" applyAlignment="1">
      <alignment horizontal="right"/>
    </xf>
    <xf numFmtId="0" fontId="21" fillId="12" borderId="10" xfId="0" applyFont="1" applyFill="1" applyBorder="1" applyAlignment="1">
      <alignment horizontal="right"/>
    </xf>
    <xf numFmtId="9" fontId="21" fillId="12" borderId="13" xfId="4" applyFont="1" applyFill="1" applyBorder="1" applyAlignment="1">
      <alignment horizontal="right"/>
    </xf>
    <xf numFmtId="0" fontId="21" fillId="0" borderId="41" xfId="0" applyFont="1" applyBorder="1" applyAlignment="1">
      <alignment horizontal="right"/>
    </xf>
    <xf numFmtId="0" fontId="21" fillId="0" borderId="11" xfId="0" applyFont="1" applyBorder="1" applyAlignment="1">
      <alignment horizontal="right"/>
    </xf>
    <xf numFmtId="9" fontId="21" fillId="0" borderId="40" xfId="4" applyFont="1" applyFill="1" applyBorder="1" applyAlignment="1">
      <alignment horizontal="right"/>
    </xf>
    <xf numFmtId="0" fontId="21" fillId="11" borderId="43" xfId="0" applyFont="1" applyFill="1" applyBorder="1"/>
    <xf numFmtId="0" fontId="21" fillId="11" borderId="23" xfId="0" applyFont="1" applyFill="1" applyBorder="1"/>
    <xf numFmtId="9" fontId="21" fillId="11" borderId="9" xfId="4" applyFont="1" applyFill="1" applyBorder="1"/>
    <xf numFmtId="9" fontId="0" fillId="0" borderId="25" xfId="3" applyNumberFormat="1" applyFont="1" applyBorder="1"/>
    <xf numFmtId="0" fontId="0" fillId="15" borderId="16" xfId="0" applyFill="1" applyBorder="1"/>
    <xf numFmtId="0" fontId="0" fillId="15" borderId="53" xfId="0" applyFill="1" applyBorder="1" applyAlignment="1">
      <alignment horizontal="center"/>
    </xf>
    <xf numFmtId="166" fontId="2" fillId="14" borderId="53" xfId="3" applyFont="1" applyFill="1" applyBorder="1" applyAlignment="1">
      <alignment horizontal="left"/>
    </xf>
    <xf numFmtId="166" fontId="2" fillId="14" borderId="54" xfId="3" applyFont="1" applyFill="1" applyBorder="1" applyAlignment="1">
      <alignment horizontal="left"/>
    </xf>
    <xf numFmtId="166" fontId="2" fillId="14" borderId="15" xfId="3" applyFont="1" applyFill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3" xfId="0" applyBorder="1" applyAlignment="1">
      <alignment horizontal="center"/>
    </xf>
    <xf numFmtId="0" fontId="19" fillId="0" borderId="8" xfId="0" applyFont="1" applyBorder="1"/>
    <xf numFmtId="0" fontId="19" fillId="0" borderId="22" xfId="0" applyFont="1" applyBorder="1"/>
    <xf numFmtId="9" fontId="19" fillId="0" borderId="9" xfId="4" applyFont="1" applyBorder="1"/>
    <xf numFmtId="166" fontId="0" fillId="0" borderId="8" xfId="3" applyFont="1" applyBorder="1"/>
    <xf numFmtId="166" fontId="0" fillId="0" borderId="22" xfId="3" applyFont="1" applyBorder="1"/>
    <xf numFmtId="166" fontId="0" fillId="0" borderId="45" xfId="3" applyFont="1" applyBorder="1"/>
    <xf numFmtId="175" fontId="19" fillId="0" borderId="25" xfId="0" applyNumberFormat="1" applyFont="1" applyBorder="1"/>
    <xf numFmtId="0" fontId="21" fillId="11" borderId="8" xfId="0" applyFont="1" applyFill="1" applyBorder="1"/>
    <xf numFmtId="0" fontId="21" fillId="11" borderId="22" xfId="0" applyFont="1" applyFill="1" applyBorder="1"/>
    <xf numFmtId="0" fontId="21" fillId="11" borderId="9" xfId="0" applyFont="1" applyFill="1" applyBorder="1"/>
    <xf numFmtId="0" fontId="21" fillId="9" borderId="39" xfId="0" applyFont="1" applyFill="1" applyBorder="1"/>
    <xf numFmtId="0" fontId="21" fillId="9" borderId="25" xfId="0" applyFont="1" applyFill="1" applyBorder="1"/>
    <xf numFmtId="0" fontId="21" fillId="9" borderId="40" xfId="0" applyFont="1" applyFill="1" applyBorder="1"/>
    <xf numFmtId="9" fontId="19" fillId="0" borderId="40" xfId="0" applyNumberFormat="1" applyFont="1" applyBorder="1"/>
    <xf numFmtId="0" fontId="21" fillId="13" borderId="39" xfId="0" applyFont="1" applyFill="1" applyBorder="1" applyAlignment="1">
      <alignment horizontal="right"/>
    </xf>
    <xf numFmtId="0" fontId="21" fillId="13" borderId="25" xfId="0" applyFont="1" applyFill="1" applyBorder="1" applyAlignment="1">
      <alignment horizontal="right"/>
    </xf>
    <xf numFmtId="0" fontId="21" fillId="13" borderId="40" xfId="0" applyFont="1" applyFill="1" applyBorder="1" applyAlignment="1">
      <alignment horizontal="right"/>
    </xf>
    <xf numFmtId="0" fontId="21" fillId="12" borderId="12" xfId="0" applyFont="1" applyFill="1" applyBorder="1" applyAlignment="1">
      <alignment horizontal="right"/>
    </xf>
    <xf numFmtId="0" fontId="21" fillId="12" borderId="26" xfId="0" applyFont="1" applyFill="1" applyBorder="1" applyAlignment="1">
      <alignment horizontal="right"/>
    </xf>
    <xf numFmtId="0" fontId="21" fillId="12" borderId="13" xfId="0" applyFont="1" applyFill="1" applyBorder="1" applyAlignment="1">
      <alignment horizontal="right"/>
    </xf>
    <xf numFmtId="0" fontId="19" fillId="0" borderId="40" xfId="0" applyFont="1" applyBorder="1"/>
    <xf numFmtId="0" fontId="21" fillId="0" borderId="39" xfId="0" applyFont="1" applyBorder="1"/>
    <xf numFmtId="0" fontId="21" fillId="0" borderId="25" xfId="0" applyFont="1" applyBorder="1"/>
    <xf numFmtId="0" fontId="21" fillId="0" borderId="40" xfId="0" applyFont="1" applyBorder="1"/>
    <xf numFmtId="0" fontId="21" fillId="12" borderId="48" xfId="0" applyFont="1" applyFill="1" applyBorder="1" applyAlignment="1">
      <alignment horizontal="right"/>
    </xf>
    <xf numFmtId="0" fontId="21" fillId="12" borderId="49" xfId="0" applyFont="1" applyFill="1" applyBorder="1" applyAlignment="1">
      <alignment horizontal="right"/>
    </xf>
    <xf numFmtId="0" fontId="21" fillId="12" borderId="50" xfId="0" applyFont="1" applyFill="1" applyBorder="1" applyAlignment="1">
      <alignment horizontal="right"/>
    </xf>
    <xf numFmtId="166" fontId="2" fillId="15" borderId="14" xfId="3" applyFont="1" applyFill="1" applyBorder="1"/>
    <xf numFmtId="166" fontId="2" fillId="15" borderId="15" xfId="3" applyFont="1" applyFill="1" applyBorder="1"/>
    <xf numFmtId="174" fontId="19" fillId="0" borderId="39" xfId="0" applyNumberFormat="1" applyFont="1" applyBorder="1"/>
    <xf numFmtId="9" fontId="19" fillId="8" borderId="40" xfId="4" applyFont="1" applyFill="1" applyBorder="1"/>
    <xf numFmtId="166" fontId="0" fillId="8" borderId="25" xfId="3" applyFont="1" applyFill="1" applyBorder="1"/>
    <xf numFmtId="175" fontId="9" fillId="0" borderId="25" xfId="0" applyNumberFormat="1" applyFont="1" applyBorder="1" applyAlignment="1">
      <alignment horizontal="left"/>
    </xf>
    <xf numFmtId="175" fontId="9" fillId="0" borderId="25" xfId="4" applyNumberFormat="1" applyFont="1" applyBorder="1" applyAlignment="1">
      <alignment horizontal="left"/>
    </xf>
    <xf numFmtId="166" fontId="1" fillId="0" borderId="25" xfId="3" applyFont="1" applyBorder="1" applyAlignment="1">
      <alignment horizontal="left"/>
    </xf>
    <xf numFmtId="166" fontId="0" fillId="11" borderId="24" xfId="3" applyFont="1" applyFill="1" applyBorder="1"/>
    <xf numFmtId="166" fontId="0" fillId="0" borderId="0" xfId="3" applyFont="1" applyBorder="1"/>
    <xf numFmtId="166" fontId="0" fillId="12" borderId="27" xfId="3" applyFont="1" applyFill="1" applyBorder="1"/>
    <xf numFmtId="166" fontId="0" fillId="0" borderId="0" xfId="3" applyFont="1" applyFill="1" applyBorder="1"/>
    <xf numFmtId="166" fontId="0" fillId="9" borderId="0" xfId="3" applyFont="1" applyFill="1" applyBorder="1"/>
    <xf numFmtId="166" fontId="0" fillId="8" borderId="0" xfId="3" applyFont="1" applyFill="1" applyBorder="1"/>
    <xf numFmtId="166" fontId="2" fillId="13" borderId="0" xfId="3" applyFont="1" applyFill="1" applyBorder="1"/>
    <xf numFmtId="166" fontId="4" fillId="0" borderId="0" xfId="3" applyFont="1" applyBorder="1"/>
    <xf numFmtId="166" fontId="18" fillId="0" borderId="0" xfId="3" applyFont="1" applyBorder="1"/>
    <xf numFmtId="166" fontId="2" fillId="12" borderId="27" xfId="3" applyFont="1" applyFill="1" applyBorder="1"/>
    <xf numFmtId="175" fontId="9" fillId="0" borderId="30" xfId="0" applyNumberFormat="1" applyFont="1" applyBorder="1" applyAlignment="1">
      <alignment horizontal="left"/>
    </xf>
    <xf numFmtId="175" fontId="9" fillId="0" borderId="31" xfId="4" applyNumberFormat="1" applyFont="1" applyBorder="1" applyAlignment="1">
      <alignment horizontal="left"/>
    </xf>
    <xf numFmtId="175" fontId="9" fillId="0" borderId="30" xfId="4" applyNumberFormat="1" applyFont="1" applyBorder="1" applyAlignment="1">
      <alignment horizontal="left"/>
    </xf>
    <xf numFmtId="0" fontId="0" fillId="0" borderId="55" xfId="0" applyBorder="1" applyAlignment="1">
      <alignment wrapText="1"/>
    </xf>
    <xf numFmtId="14" fontId="0" fillId="0" borderId="0" xfId="0" applyNumberFormat="1"/>
    <xf numFmtId="0" fontId="0" fillId="0" borderId="20" xfId="0" applyBorder="1" applyAlignment="1">
      <alignment horizontal="center" wrapText="1"/>
    </xf>
    <xf numFmtId="0" fontId="0" fillId="0" borderId="44" xfId="0" applyBorder="1"/>
    <xf numFmtId="0" fontId="2" fillId="11" borderId="56" xfId="0" applyFont="1" applyFill="1" applyBorder="1"/>
    <xf numFmtId="0" fontId="2" fillId="11" borderId="21" xfId="0" applyFont="1" applyFill="1" applyBorder="1"/>
    <xf numFmtId="9" fontId="20" fillId="0" borderId="40" xfId="4" applyFont="1" applyFill="1" applyBorder="1"/>
    <xf numFmtId="0" fontId="0" fillId="0" borderId="41" xfId="0" applyBorder="1" applyAlignment="1">
      <alignment horizontal="right"/>
    </xf>
    <xf numFmtId="0" fontId="0" fillId="8" borderId="11" xfId="0" applyFill="1" applyBorder="1"/>
    <xf numFmtId="166" fontId="19" fillId="8" borderId="39" xfId="0" applyNumberFormat="1" applyFont="1" applyFill="1" applyBorder="1"/>
    <xf numFmtId="9" fontId="19" fillId="8" borderId="25" xfId="0" applyNumberFormat="1" applyFont="1" applyFill="1" applyBorder="1"/>
    <xf numFmtId="0" fontId="3" fillId="0" borderId="35" xfId="0" applyFont="1" applyBorder="1" applyAlignment="1">
      <alignment horizontal="center"/>
    </xf>
    <xf numFmtId="0" fontId="19" fillId="0" borderId="12" xfId="0" applyFont="1" applyBorder="1"/>
    <xf numFmtId="0" fontId="19" fillId="0" borderId="26" xfId="0" applyFont="1" applyBorder="1"/>
    <xf numFmtId="166" fontId="0" fillId="0" borderId="12" xfId="3" applyFont="1" applyBorder="1"/>
    <xf numFmtId="166" fontId="0" fillId="0" borderId="26" xfId="3" applyFont="1" applyBorder="1"/>
    <xf numFmtId="166" fontId="0" fillId="0" borderId="13" xfId="3" applyFont="1" applyBorder="1"/>
    <xf numFmtId="0" fontId="21" fillId="12" borderId="57" xfId="0" applyFont="1" applyFill="1" applyBorder="1" applyAlignment="1">
      <alignment horizontal="right"/>
    </xf>
    <xf numFmtId="0" fontId="0" fillId="0" borderId="39" xfId="0" applyBorder="1" applyAlignment="1">
      <alignment wrapText="1"/>
    </xf>
    <xf numFmtId="0" fontId="0" fillId="0" borderId="55" xfId="0" applyBorder="1"/>
    <xf numFmtId="0" fontId="3" fillId="0" borderId="11" xfId="0" applyFont="1" applyBorder="1" applyAlignment="1">
      <alignment horizontal="left" indent="1"/>
    </xf>
    <xf numFmtId="1" fontId="0" fillId="0" borderId="1" xfId="0" applyNumberFormat="1" applyBorder="1"/>
    <xf numFmtId="1" fontId="3" fillId="0" borderId="1" xfId="0" applyNumberFormat="1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171" fontId="0" fillId="0" borderId="22" xfId="0" applyNumberFormat="1" applyBorder="1" applyAlignment="1">
      <alignment horizontal="center"/>
    </xf>
    <xf numFmtId="1" fontId="3" fillId="0" borderId="17" xfId="0" applyNumberFormat="1" applyFont="1" applyBorder="1" applyAlignment="1">
      <alignment horizontal="left" vertical="center"/>
    </xf>
    <xf numFmtId="171" fontId="3" fillId="0" borderId="17" xfId="0" applyNumberFormat="1" applyFont="1" applyBorder="1" applyAlignment="1">
      <alignment horizontal="left" indent="1"/>
    </xf>
    <xf numFmtId="176" fontId="19" fillId="0" borderId="25" xfId="0" applyNumberFormat="1" applyFont="1" applyBorder="1"/>
    <xf numFmtId="167" fontId="0" fillId="0" borderId="55" xfId="1" applyFont="1" applyBorder="1" applyAlignment="1">
      <alignment wrapText="1"/>
    </xf>
    <xf numFmtId="0" fontId="19" fillId="8" borderId="39" xfId="0" applyFont="1" applyFill="1" applyBorder="1"/>
    <xf numFmtId="164" fontId="19" fillId="8" borderId="25" xfId="0" applyNumberFormat="1" applyFont="1" applyFill="1" applyBorder="1"/>
    <xf numFmtId="166" fontId="22" fillId="4" borderId="54" xfId="3" applyFont="1" applyFill="1" applyBorder="1" applyAlignment="1">
      <alignment horizontal="left"/>
    </xf>
    <xf numFmtId="0" fontId="0" fillId="4" borderId="0" xfId="0" applyFill="1"/>
    <xf numFmtId="171" fontId="19" fillId="8" borderId="39" xfId="0" applyNumberFormat="1" applyFont="1" applyFill="1" applyBorder="1"/>
    <xf numFmtId="171" fontId="20" fillId="0" borderId="39" xfId="0" applyNumberFormat="1" applyFont="1" applyBorder="1"/>
    <xf numFmtId="0" fontId="3" fillId="0" borderId="34" xfId="0" applyFont="1" applyBorder="1" applyAlignment="1">
      <alignment horizontal="center" wrapText="1"/>
    </xf>
    <xf numFmtId="177" fontId="19" fillId="0" borderId="39" xfId="1" applyNumberFormat="1" applyFont="1" applyBorder="1"/>
    <xf numFmtId="178" fontId="0" fillId="0" borderId="1" xfId="0" applyNumberFormat="1" applyBorder="1" applyAlignment="1">
      <alignment horizontal="center"/>
    </xf>
    <xf numFmtId="178" fontId="0" fillId="0" borderId="22" xfId="0" applyNumberFormat="1" applyBorder="1" applyAlignment="1">
      <alignment horizontal="center"/>
    </xf>
    <xf numFmtId="178" fontId="3" fillId="0" borderId="17" xfId="0" applyNumberFormat="1" applyFont="1" applyBorder="1" applyAlignment="1">
      <alignment horizontal="left" indent="1"/>
    </xf>
    <xf numFmtId="178" fontId="0" fillId="0" borderId="3" xfId="0" applyNumberFormat="1" applyBorder="1"/>
    <xf numFmtId="177" fontId="20" fillId="0" borderId="25" xfId="1" applyNumberFormat="1" applyFont="1" applyBorder="1"/>
    <xf numFmtId="0" fontId="19" fillId="0" borderId="41" xfId="0" applyFont="1" applyBorder="1"/>
    <xf numFmtId="176" fontId="19" fillId="0" borderId="11" xfId="0" applyNumberFormat="1" applyFont="1" applyBorder="1"/>
    <xf numFmtId="166" fontId="0" fillId="0" borderId="41" xfId="3" applyFont="1" applyFill="1" applyBorder="1"/>
    <xf numFmtId="0" fontId="2" fillId="11" borderId="43" xfId="0" applyFont="1" applyFill="1" applyBorder="1"/>
    <xf numFmtId="166" fontId="0" fillId="11" borderId="45" xfId="3" applyFont="1" applyFill="1" applyBorder="1"/>
    <xf numFmtId="166" fontId="0" fillId="0" borderId="46" xfId="3" applyFont="1" applyBorder="1"/>
    <xf numFmtId="0" fontId="2" fillId="12" borderId="42" xfId="0" applyFont="1" applyFill="1" applyBorder="1" applyAlignment="1">
      <alignment horizontal="right"/>
    </xf>
    <xf numFmtId="166" fontId="0" fillId="12" borderId="64" xfId="3" applyFont="1" applyFill="1" applyBorder="1"/>
    <xf numFmtId="0" fontId="2" fillId="0" borderId="41" xfId="0" applyFont="1" applyBorder="1" applyAlignment="1">
      <alignment horizontal="right"/>
    </xf>
    <xf numFmtId="166" fontId="0" fillId="0" borderId="46" xfId="3" applyFont="1" applyFill="1" applyBorder="1"/>
    <xf numFmtId="0" fontId="2" fillId="9" borderId="41" xfId="0" applyFont="1" applyFill="1" applyBorder="1"/>
    <xf numFmtId="166" fontId="0" fillId="9" borderId="46" xfId="3" applyFont="1" applyFill="1" applyBorder="1"/>
    <xf numFmtId="0" fontId="0" fillId="0" borderId="41" xfId="0" quotePrefix="1" applyBorder="1" applyAlignment="1">
      <alignment horizontal="left"/>
    </xf>
    <xf numFmtId="166" fontId="4" fillId="0" borderId="46" xfId="3" applyFont="1" applyBorder="1"/>
    <xf numFmtId="0" fontId="18" fillId="0" borderId="41" xfId="0" quotePrefix="1" applyFont="1" applyBorder="1" applyAlignment="1">
      <alignment horizontal="right"/>
    </xf>
    <xf numFmtId="166" fontId="18" fillId="0" borderId="46" xfId="3" applyFont="1" applyBorder="1"/>
    <xf numFmtId="166" fontId="2" fillId="12" borderId="35" xfId="3" applyFont="1" applyFill="1" applyBorder="1"/>
    <xf numFmtId="0" fontId="2" fillId="13" borderId="41" xfId="0" applyFont="1" applyFill="1" applyBorder="1" applyAlignment="1">
      <alignment horizontal="right"/>
    </xf>
    <xf numFmtId="0" fontId="3" fillId="0" borderId="41" xfId="0" applyFont="1" applyBorder="1" applyAlignment="1">
      <alignment horizontal="left" indent="2"/>
    </xf>
    <xf numFmtId="166" fontId="2" fillId="12" borderId="35" xfId="3" applyFont="1" applyFill="1" applyBorder="1" applyAlignment="1">
      <alignment horizontal="right"/>
    </xf>
    <xf numFmtId="166" fontId="2" fillId="0" borderId="40" xfId="3" applyFont="1" applyFill="1" applyBorder="1" applyAlignment="1">
      <alignment horizontal="right"/>
    </xf>
    <xf numFmtId="0" fontId="0" fillId="0" borderId="41" xfId="0" applyBorder="1" applyAlignment="1">
      <alignment horizontal="left"/>
    </xf>
    <xf numFmtId="0" fontId="0" fillId="0" borderId="43" xfId="0" applyBorder="1" applyAlignment="1">
      <alignment horizontal="left"/>
    </xf>
    <xf numFmtId="166" fontId="2" fillId="9" borderId="34" xfId="3" applyFont="1" applyFill="1" applyBorder="1"/>
    <xf numFmtId="175" fontId="9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0" borderId="1" xfId="0" applyFill="1" applyBorder="1" applyAlignment="1">
      <alignment horizontal="center"/>
    </xf>
    <xf numFmtId="165" fontId="0" fillId="10" borderId="1" xfId="0" applyNumberFormat="1" applyFill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9" fillId="14" borderId="63" xfId="0" applyFont="1" applyFill="1" applyBorder="1" applyAlignment="1">
      <alignment horizontal="center"/>
    </xf>
    <xf numFmtId="0" fontId="9" fillId="14" borderId="18" xfId="0" applyFont="1" applyFill="1" applyBorder="1" applyAlignment="1">
      <alignment horizontal="center"/>
    </xf>
    <xf numFmtId="0" fontId="9" fillId="14" borderId="44" xfId="0" applyFont="1" applyFill="1" applyBorder="1" applyAlignment="1">
      <alignment horizontal="center"/>
    </xf>
    <xf numFmtId="0" fontId="9" fillId="14" borderId="56" xfId="0" applyFont="1" applyFill="1" applyBorder="1" applyAlignment="1">
      <alignment horizontal="center"/>
    </xf>
    <xf numFmtId="0" fontId="9" fillId="14" borderId="24" xfId="0" applyFont="1" applyFill="1" applyBorder="1" applyAlignment="1">
      <alignment horizontal="center"/>
    </xf>
    <xf numFmtId="0" fontId="9" fillId="14" borderId="45" xfId="0" applyFont="1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13" borderId="0" xfId="0" applyFont="1" applyFill="1" applyAlignment="1">
      <alignment horizontal="center"/>
    </xf>
    <xf numFmtId="0" fontId="0" fillId="0" borderId="19" xfId="0" applyBorder="1"/>
    <xf numFmtId="0" fontId="0" fillId="0" borderId="31" xfId="0" applyBorder="1"/>
    <xf numFmtId="0" fontId="0" fillId="0" borderId="23" xfId="0" applyBorder="1"/>
    <xf numFmtId="0" fontId="0" fillId="0" borderId="29" xfId="0" applyBorder="1"/>
    <xf numFmtId="0" fontId="3" fillId="0" borderId="58" xfId="0" applyFont="1" applyBorder="1" applyAlignment="1">
      <alignment horizontal="left" wrapText="1" indent="4"/>
    </xf>
    <xf numFmtId="0" fontId="3" fillId="0" borderId="59" xfId="0" applyFont="1" applyBorder="1" applyAlignment="1">
      <alignment horizontal="left" wrapText="1" indent="4"/>
    </xf>
    <xf numFmtId="0" fontId="0" fillId="0" borderId="60" xfId="0" applyBorder="1" applyAlignment="1">
      <alignment horizontal="center" wrapText="1"/>
    </xf>
    <xf numFmtId="0" fontId="0" fillId="0" borderId="61" xfId="0" applyBorder="1" applyAlignment="1">
      <alignment horizontal="center" wrapText="1"/>
    </xf>
    <xf numFmtId="0" fontId="0" fillId="0" borderId="62" xfId="0" applyBorder="1" applyAlignment="1">
      <alignment horizontal="center" wrapText="1"/>
    </xf>
    <xf numFmtId="0" fontId="17" fillId="8" borderId="0" xfId="0" applyFont="1" applyFill="1" applyAlignment="1">
      <alignment horizontal="center"/>
    </xf>
    <xf numFmtId="0" fontId="9" fillId="14" borderId="19" xfId="0" applyFont="1" applyFill="1" applyBorder="1" applyAlignment="1">
      <alignment horizontal="center"/>
    </xf>
    <xf numFmtId="0" fontId="9" fillId="14" borderId="29" xfId="0" applyFont="1" applyFill="1" applyBorder="1" applyAlignment="1">
      <alignment horizontal="center"/>
    </xf>
  </cellXfs>
  <cellStyles count="5">
    <cellStyle name="Milliers" xfId="1" builtinId="3"/>
    <cellStyle name="Monétaire" xfId="3" builtinId="4"/>
    <cellStyle name="Normal" xfId="0" builtinId="0"/>
    <cellStyle name="Normal 2" xfId="2" xr:uid="{5CF7A4A7-8ECF-4C35-83B0-B75E4AB22BE0}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1000125</xdr:colOff>
      <xdr:row>94</xdr:row>
      <xdr:rowOff>158750</xdr:rowOff>
    </xdr:from>
    <xdr:to>
      <xdr:col>11</xdr:col>
      <xdr:colOff>504216</xdr:colOff>
      <xdr:row>114</xdr:row>
      <xdr:rowOff>117012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3E5C6C-49ED-495B-B2BE-2E84D6B79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00" y="17160875"/>
          <a:ext cx="4876190" cy="3704762"/>
        </a:xfrm>
        <a:prstGeom prst="rect">
          <a:avLst/>
        </a:prstGeom>
      </xdr:spPr>
    </xdr:pic>
    <xdr:clientData/>
  </xdr:twoCellAnchor>
  <xdr:twoCellAnchor editAs="oneCell">
    <xdr:from>
      <xdr:col>11</xdr:col>
      <xdr:colOff>1133926</xdr:colOff>
      <xdr:row>94</xdr:row>
      <xdr:rowOff>161015</xdr:rowOff>
    </xdr:from>
    <xdr:to>
      <xdr:col>18</xdr:col>
      <xdr:colOff>293300</xdr:colOff>
      <xdr:row>114</xdr:row>
      <xdr:rowOff>178694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614CC2D-A6CA-4303-B9F8-2CE007DC4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96926" y="20408444"/>
          <a:ext cx="4880726" cy="3834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opLeftCell="A4" workbookViewId="0">
      <selection activeCell="D37" sqref="D37"/>
    </sheetView>
  </sheetViews>
  <sheetFormatPr baseColWidth="10" defaultColWidth="9.1640625" defaultRowHeight="15" x14ac:dyDescent="0.2"/>
  <cols>
    <col min="1" max="1" width="28.5" customWidth="1"/>
    <col min="2" max="2" width="22.83203125" bestFit="1" customWidth="1"/>
    <col min="3" max="3" width="22" bestFit="1" customWidth="1"/>
    <col min="4" max="4" width="13" bestFit="1" customWidth="1"/>
    <col min="5" max="5" width="14.5" customWidth="1"/>
    <col min="6" max="6" width="15.83203125" bestFit="1" customWidth="1"/>
  </cols>
  <sheetData>
    <row r="1" spans="1:7" ht="29" x14ac:dyDescent="0.35">
      <c r="A1" s="27" t="s">
        <v>0</v>
      </c>
      <c r="D1" s="322"/>
      <c r="E1" s="322"/>
    </row>
    <row r="2" spans="1:7" ht="30" customHeight="1" x14ac:dyDescent="0.2">
      <c r="A2" s="24"/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</row>
    <row r="3" spans="1:7" ht="30" customHeight="1" x14ac:dyDescent="0.2">
      <c r="A3" s="29" t="s">
        <v>6</v>
      </c>
      <c r="B3" s="26">
        <v>1420</v>
      </c>
      <c r="C3" s="26">
        <v>400</v>
      </c>
      <c r="D3" s="26">
        <v>1420</v>
      </c>
      <c r="E3" s="26">
        <v>500</v>
      </c>
      <c r="F3" s="26"/>
      <c r="G3" t="s">
        <v>7</v>
      </c>
    </row>
    <row r="4" spans="1:7" ht="30" customHeight="1" x14ac:dyDescent="0.2">
      <c r="A4" s="28" t="s">
        <v>8</v>
      </c>
      <c r="B4" s="2">
        <f>8600*75%</f>
        <v>6450</v>
      </c>
      <c r="C4" s="2">
        <f>8600*25%</f>
        <v>2150</v>
      </c>
      <c r="D4" s="3">
        <v>6015</v>
      </c>
      <c r="E4" s="3">
        <v>815</v>
      </c>
      <c r="F4" s="2">
        <f t="shared" ref="F4:F9" si="0">SUM(B4:E4)</f>
        <v>15430</v>
      </c>
      <c r="G4" s="18" t="s">
        <v>9</v>
      </c>
    </row>
    <row r="5" spans="1:7" ht="30" customHeight="1" x14ac:dyDescent="0.2">
      <c r="A5" s="30" t="s">
        <v>10</v>
      </c>
      <c r="B5" s="4">
        <f>B4*B3</f>
        <v>9159000</v>
      </c>
      <c r="C5" s="4">
        <f>C4*C3</f>
        <v>860000</v>
      </c>
      <c r="D5" s="4">
        <f>D4*D3</f>
        <v>8541300</v>
      </c>
      <c r="E5" s="4">
        <f>E4*E3</f>
        <v>407500</v>
      </c>
      <c r="F5" s="4">
        <f t="shared" si="0"/>
        <v>18967800</v>
      </c>
      <c r="G5" s="18"/>
    </row>
    <row r="6" spans="1:7" ht="30" customHeight="1" x14ac:dyDescent="0.2">
      <c r="A6" s="31" t="s">
        <v>11</v>
      </c>
      <c r="B6" s="5">
        <v>0</v>
      </c>
      <c r="C6" s="5">
        <v>8600</v>
      </c>
      <c r="D6" s="6">
        <v>6015</v>
      </c>
      <c r="E6" s="6">
        <v>815</v>
      </c>
      <c r="F6" s="5">
        <f t="shared" si="0"/>
        <v>15430</v>
      </c>
      <c r="G6" s="18" t="s">
        <v>9</v>
      </c>
    </row>
    <row r="7" spans="1:7" ht="30" customHeight="1" x14ac:dyDescent="0.2">
      <c r="A7" s="32" t="s">
        <v>12</v>
      </c>
      <c r="B7" s="7">
        <f>B6*1420</f>
        <v>0</v>
      </c>
      <c r="C7" s="7">
        <f>C6*C3</f>
        <v>3440000</v>
      </c>
      <c r="D7" s="7">
        <f>D6*D3</f>
        <v>8541300</v>
      </c>
      <c r="E7" s="7">
        <f>E6*E3</f>
        <v>407500</v>
      </c>
      <c r="F7" s="7">
        <f t="shared" si="0"/>
        <v>12388800</v>
      </c>
      <c r="G7" s="18"/>
    </row>
    <row r="8" spans="1:7" ht="30.75" customHeight="1" x14ac:dyDescent="0.2">
      <c r="A8" s="33" t="s">
        <v>13</v>
      </c>
      <c r="B8" s="20">
        <v>0</v>
      </c>
      <c r="C8" s="20">
        <v>14615</v>
      </c>
      <c r="D8" s="21">
        <v>0</v>
      </c>
      <c r="E8" s="22">
        <f>E6</f>
        <v>815</v>
      </c>
      <c r="F8" s="20">
        <f t="shared" si="0"/>
        <v>15430</v>
      </c>
      <c r="G8" s="18" t="s">
        <v>9</v>
      </c>
    </row>
    <row r="9" spans="1:7" ht="30" customHeight="1" x14ac:dyDescent="0.2">
      <c r="A9" s="34" t="s">
        <v>12</v>
      </c>
      <c r="B9" s="23">
        <f>B8*1420</f>
        <v>0</v>
      </c>
      <c r="C9" s="23">
        <f>C8*C3</f>
        <v>5846000</v>
      </c>
      <c r="D9" s="23">
        <f>D8*1420</f>
        <v>0</v>
      </c>
      <c r="E9" s="23">
        <f>E8*500</f>
        <v>407500</v>
      </c>
      <c r="F9" s="23">
        <f t="shared" si="0"/>
        <v>6253500</v>
      </c>
      <c r="G9" s="19"/>
    </row>
    <row r="11" spans="1:7" ht="30" thickBot="1" x14ac:dyDescent="0.4">
      <c r="A11" s="27" t="s">
        <v>14</v>
      </c>
    </row>
    <row r="12" spans="1:7" x14ac:dyDescent="0.2">
      <c r="A12" s="10" t="s">
        <v>15</v>
      </c>
      <c r="B12" s="11">
        <f>2057839+2843715+4303730+4544000</f>
        <v>13749284</v>
      </c>
    </row>
    <row r="13" spans="1:7" x14ac:dyDescent="0.2">
      <c r="A13" s="12" t="s">
        <v>16</v>
      </c>
      <c r="B13" s="13">
        <f>11%*B12</f>
        <v>1512421.24</v>
      </c>
    </row>
    <row r="14" spans="1:7" x14ac:dyDescent="0.2">
      <c r="A14" s="12" t="s">
        <v>17</v>
      </c>
      <c r="B14" s="13">
        <f>5%*(B12+B13)</f>
        <v>763085.2620000001</v>
      </c>
    </row>
    <row r="15" spans="1:7" x14ac:dyDescent="0.2">
      <c r="A15" s="12" t="s">
        <v>18</v>
      </c>
      <c r="B15" s="13">
        <v>1452842</v>
      </c>
    </row>
    <row r="16" spans="1:7" x14ac:dyDescent="0.2">
      <c r="A16" s="12" t="s">
        <v>16</v>
      </c>
      <c r="B16" s="13">
        <f>B15*11%</f>
        <v>159812.62</v>
      </c>
    </row>
    <row r="17" spans="1:3" x14ac:dyDescent="0.2">
      <c r="A17" s="12" t="s">
        <v>17</v>
      </c>
      <c r="B17" s="13">
        <f>(B15+B16)*5%</f>
        <v>80632.731000000014</v>
      </c>
    </row>
    <row r="18" spans="1:3" x14ac:dyDescent="0.2">
      <c r="A18" s="12" t="s">
        <v>19</v>
      </c>
      <c r="B18" s="13">
        <f>(B12+B13+B14+B15+B16+B17)*2.5%</f>
        <v>442951.94632500003</v>
      </c>
      <c r="C18" s="17"/>
    </row>
    <row r="19" spans="1:3" x14ac:dyDescent="0.2">
      <c r="A19" s="12" t="s">
        <v>20</v>
      </c>
      <c r="B19" s="13">
        <v>300000</v>
      </c>
    </row>
    <row r="20" spans="1:3" x14ac:dyDescent="0.2">
      <c r="A20" s="12" t="s">
        <v>21</v>
      </c>
      <c r="B20" s="13">
        <v>40000</v>
      </c>
    </row>
    <row r="21" spans="1:3" x14ac:dyDescent="0.2">
      <c r="A21" s="12" t="s">
        <v>22</v>
      </c>
      <c r="B21" s="13">
        <v>135000</v>
      </c>
    </row>
    <row r="22" spans="1:3" x14ac:dyDescent="0.2">
      <c r="A22" s="14" t="s">
        <v>23</v>
      </c>
      <c r="B22" s="13">
        <f>200000+300000+600000</f>
        <v>1100000</v>
      </c>
      <c r="C22" s="1"/>
    </row>
    <row r="23" spans="1:3" x14ac:dyDescent="0.2">
      <c r="A23" s="15" t="s">
        <v>24</v>
      </c>
      <c r="B23" s="16">
        <v>1100000</v>
      </c>
      <c r="C23" s="1"/>
    </row>
    <row r="24" spans="1:3" x14ac:dyDescent="0.2">
      <c r="A24" s="14" t="s">
        <v>25</v>
      </c>
      <c r="B24" s="13">
        <v>100000</v>
      </c>
      <c r="C24" s="1"/>
    </row>
    <row r="25" spans="1:3" x14ac:dyDescent="0.2">
      <c r="A25" s="14" t="s">
        <v>26</v>
      </c>
      <c r="B25" s="13">
        <v>30000</v>
      </c>
      <c r="C25" s="1"/>
    </row>
    <row r="26" spans="1:3" x14ac:dyDescent="0.2">
      <c r="A26" s="14" t="s">
        <v>27</v>
      </c>
      <c r="B26" s="13">
        <v>90000</v>
      </c>
      <c r="C26" s="1"/>
    </row>
    <row r="27" spans="1:3" ht="17" thickBot="1" x14ac:dyDescent="0.25">
      <c r="A27" s="9" t="s">
        <v>28</v>
      </c>
      <c r="B27" s="8">
        <f>SUM(B12:B26)</f>
        <v>21056029.799325</v>
      </c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05150-01CF-4582-B481-3970700DFE16}">
  <sheetPr>
    <pageSetUpPr fitToPage="1"/>
  </sheetPr>
  <dimension ref="A1:I34"/>
  <sheetViews>
    <sheetView workbookViewId="0">
      <selection activeCell="D37" sqref="D37"/>
    </sheetView>
  </sheetViews>
  <sheetFormatPr baseColWidth="10" defaultColWidth="9.1640625" defaultRowHeight="15" x14ac:dyDescent="0.2"/>
  <cols>
    <col min="1" max="1" width="28.5" customWidth="1"/>
    <col min="2" max="2" width="22.83203125" bestFit="1" customWidth="1"/>
    <col min="3" max="3" width="22" bestFit="1" customWidth="1"/>
    <col min="4" max="4" width="13" bestFit="1" customWidth="1"/>
    <col min="5" max="5" width="14.5" customWidth="1"/>
    <col min="6" max="6" width="15.83203125" bestFit="1" customWidth="1"/>
  </cols>
  <sheetData>
    <row r="1" spans="1:9" ht="29" x14ac:dyDescent="0.35">
      <c r="A1" s="27" t="s">
        <v>0</v>
      </c>
      <c r="D1" s="322"/>
      <c r="E1" s="322"/>
    </row>
    <row r="2" spans="1:9" ht="30" customHeight="1" x14ac:dyDescent="0.2">
      <c r="A2" s="24"/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</row>
    <row r="3" spans="1:9" ht="30" customHeight="1" x14ac:dyDescent="0.2">
      <c r="A3" s="29" t="s">
        <v>6</v>
      </c>
      <c r="B3" s="26">
        <v>1420</v>
      </c>
      <c r="C3" s="35">
        <v>700</v>
      </c>
      <c r="D3" s="26">
        <v>1420</v>
      </c>
      <c r="E3" s="26">
        <v>500</v>
      </c>
      <c r="F3" s="26"/>
      <c r="G3" t="s">
        <v>7</v>
      </c>
      <c r="I3" t="s">
        <v>29</v>
      </c>
    </row>
    <row r="4" spans="1:9" ht="30" customHeight="1" x14ac:dyDescent="0.2">
      <c r="A4" s="28" t="s">
        <v>8</v>
      </c>
      <c r="B4" s="2">
        <f>8600*75%</f>
        <v>6450</v>
      </c>
      <c r="C4" s="2">
        <f>8600*25%</f>
        <v>2150</v>
      </c>
      <c r="D4" s="3">
        <v>6015</v>
      </c>
      <c r="E4" s="3">
        <v>815</v>
      </c>
      <c r="F4" s="2">
        <f t="shared" ref="F4:F9" si="0">SUM(B4:E4)</f>
        <v>15430</v>
      </c>
      <c r="G4" s="18" t="s">
        <v>9</v>
      </c>
    </row>
    <row r="5" spans="1:9" ht="30" customHeight="1" x14ac:dyDescent="0.2">
      <c r="A5" s="30" t="s">
        <v>10</v>
      </c>
      <c r="B5" s="4">
        <f>B4*B3</f>
        <v>9159000</v>
      </c>
      <c r="C5" s="4">
        <f>C4*C3</f>
        <v>1505000</v>
      </c>
      <c r="D5" s="4">
        <f>D4*D3</f>
        <v>8541300</v>
      </c>
      <c r="E5" s="4">
        <f>E4*E3</f>
        <v>407500</v>
      </c>
      <c r="F5" s="4">
        <f t="shared" si="0"/>
        <v>19612800</v>
      </c>
      <c r="G5" s="18"/>
    </row>
    <row r="6" spans="1:9" ht="30" customHeight="1" x14ac:dyDescent="0.2">
      <c r="A6" s="31" t="s">
        <v>11</v>
      </c>
      <c r="B6" s="5">
        <v>0</v>
      </c>
      <c r="C6" s="5">
        <v>8600</v>
      </c>
      <c r="D6" s="6">
        <v>6015</v>
      </c>
      <c r="E6" s="6">
        <v>815</v>
      </c>
      <c r="F6" s="5">
        <f t="shared" si="0"/>
        <v>15430</v>
      </c>
      <c r="G6" s="18" t="s">
        <v>9</v>
      </c>
    </row>
    <row r="7" spans="1:9" ht="30" customHeight="1" x14ac:dyDescent="0.2">
      <c r="A7" s="32" t="s">
        <v>12</v>
      </c>
      <c r="B7" s="7">
        <f>B6*1420</f>
        <v>0</v>
      </c>
      <c r="C7" s="7">
        <f>C6*C3</f>
        <v>6020000</v>
      </c>
      <c r="D7" s="7">
        <f>D6*D3</f>
        <v>8541300</v>
      </c>
      <c r="E7" s="7">
        <f>E6*E3</f>
        <v>407500</v>
      </c>
      <c r="F7" s="7">
        <f t="shared" si="0"/>
        <v>14968800</v>
      </c>
      <c r="G7" s="18"/>
    </row>
    <row r="8" spans="1:9" ht="30.75" customHeight="1" x14ac:dyDescent="0.2">
      <c r="A8" s="33" t="s">
        <v>13</v>
      </c>
      <c r="B8" s="20">
        <v>0</v>
      </c>
      <c r="C8" s="20">
        <v>14615</v>
      </c>
      <c r="D8" s="21">
        <v>0</v>
      </c>
      <c r="E8" s="22">
        <f>E6</f>
        <v>815</v>
      </c>
      <c r="F8" s="20">
        <f t="shared" si="0"/>
        <v>15430</v>
      </c>
      <c r="G8" s="18" t="s">
        <v>9</v>
      </c>
    </row>
    <row r="9" spans="1:9" ht="30" customHeight="1" x14ac:dyDescent="0.2">
      <c r="A9" s="34" t="s">
        <v>12</v>
      </c>
      <c r="B9" s="23">
        <f>B8*1420</f>
        <v>0</v>
      </c>
      <c r="C9" s="23">
        <f>C8*C3</f>
        <v>10230500</v>
      </c>
      <c r="D9" s="23">
        <f>D8*1420</f>
        <v>0</v>
      </c>
      <c r="E9" s="23">
        <f>E8*500</f>
        <v>407500</v>
      </c>
      <c r="F9" s="23">
        <f t="shared" si="0"/>
        <v>10638000</v>
      </c>
      <c r="G9" s="19"/>
    </row>
    <row r="11" spans="1:9" ht="30" thickBot="1" x14ac:dyDescent="0.4">
      <c r="A11" s="27" t="s">
        <v>14</v>
      </c>
      <c r="C11" s="43" t="s">
        <v>30</v>
      </c>
      <c r="D11" s="324" t="s">
        <v>31</v>
      </c>
      <c r="E11" s="324"/>
      <c r="F11" s="324"/>
    </row>
    <row r="12" spans="1:9" x14ac:dyDescent="0.2">
      <c r="A12" s="10" t="s">
        <v>15</v>
      </c>
      <c r="B12" s="11">
        <f>2057839+2843715+4303730+4544000</f>
        <v>13749284</v>
      </c>
      <c r="C12" s="36" t="e">
        <f>C13+C14</f>
        <v>#REF!</v>
      </c>
      <c r="D12" s="324"/>
      <c r="E12" s="324"/>
      <c r="F12" s="324"/>
    </row>
    <row r="13" spans="1:9" x14ac:dyDescent="0.2">
      <c r="A13" s="41" t="s">
        <v>32</v>
      </c>
      <c r="B13" s="42"/>
      <c r="C13" s="40" t="e">
        <f>#REF!</f>
        <v>#REF!</v>
      </c>
      <c r="D13" s="324" t="s">
        <v>33</v>
      </c>
      <c r="E13" s="324"/>
      <c r="F13" s="324"/>
    </row>
    <row r="14" spans="1:9" x14ac:dyDescent="0.2">
      <c r="A14" s="41" t="s">
        <v>34</v>
      </c>
      <c r="B14" s="42"/>
      <c r="C14" s="40" t="e">
        <f>#REF!</f>
        <v>#REF!</v>
      </c>
      <c r="D14" s="324" t="s">
        <v>35</v>
      </c>
      <c r="E14" s="324"/>
      <c r="F14" s="324"/>
    </row>
    <row r="15" spans="1:9" x14ac:dyDescent="0.2">
      <c r="A15" s="12" t="s">
        <v>16</v>
      </c>
      <c r="B15" s="13">
        <f>11%*B12</f>
        <v>1512421.24</v>
      </c>
      <c r="C15" s="37" t="e">
        <f>11%*C14</f>
        <v>#REF!</v>
      </c>
      <c r="D15" s="324"/>
      <c r="E15" s="324"/>
      <c r="F15" s="324"/>
    </row>
    <row r="16" spans="1:9" x14ac:dyDescent="0.2">
      <c r="A16" s="12" t="s">
        <v>17</v>
      </c>
      <c r="B16" s="13">
        <f>5%*(B12+B15)</f>
        <v>763085.2620000001</v>
      </c>
      <c r="C16" s="37"/>
      <c r="D16" s="324" t="s">
        <v>36</v>
      </c>
      <c r="E16" s="324"/>
      <c r="F16" s="324"/>
    </row>
    <row r="17" spans="1:6" x14ac:dyDescent="0.2">
      <c r="A17" s="12" t="s">
        <v>18</v>
      </c>
      <c r="B17" s="13">
        <v>1452842</v>
      </c>
      <c r="C17" s="37">
        <v>1452842</v>
      </c>
      <c r="D17" s="324" t="s">
        <v>37</v>
      </c>
      <c r="E17" s="324"/>
      <c r="F17" s="324"/>
    </row>
    <row r="18" spans="1:6" x14ac:dyDescent="0.2">
      <c r="A18" s="12" t="s">
        <v>16</v>
      </c>
      <c r="B18" s="13">
        <f>B17*11%</f>
        <v>159812.62</v>
      </c>
      <c r="C18" s="37">
        <f>C17*11%</f>
        <v>159812.62</v>
      </c>
      <c r="D18" s="324"/>
      <c r="E18" s="324"/>
      <c r="F18" s="324"/>
    </row>
    <row r="19" spans="1:6" x14ac:dyDescent="0.2">
      <c r="A19" s="12" t="s">
        <v>17</v>
      </c>
      <c r="B19" s="13">
        <f>(B17+B18)*5%</f>
        <v>80632.731000000014</v>
      </c>
      <c r="C19" s="37"/>
      <c r="D19" s="324" t="s">
        <v>36</v>
      </c>
      <c r="E19" s="324"/>
      <c r="F19" s="324"/>
    </row>
    <row r="20" spans="1:6" x14ac:dyDescent="0.2">
      <c r="A20" s="12" t="s">
        <v>19</v>
      </c>
      <c r="B20" s="13">
        <f>(B12+B15+B16+B17+B18+B19)*2.5%</f>
        <v>442951.94632500003</v>
      </c>
      <c r="C20" s="37" t="e">
        <f>(C12+C15+C16+C17+C18+C19)*2.5%</f>
        <v>#REF!</v>
      </c>
      <c r="D20" s="324" t="s">
        <v>38</v>
      </c>
      <c r="E20" s="324"/>
      <c r="F20" s="324"/>
    </row>
    <row r="21" spans="1:6" x14ac:dyDescent="0.2">
      <c r="A21" s="12" t="s">
        <v>20</v>
      </c>
      <c r="B21" s="13">
        <v>300000</v>
      </c>
      <c r="C21" s="37">
        <v>300000</v>
      </c>
      <c r="D21" s="323" t="s">
        <v>39</v>
      </c>
      <c r="E21" s="324"/>
      <c r="F21" s="324"/>
    </row>
    <row r="22" spans="1:6" x14ac:dyDescent="0.2">
      <c r="A22" s="12" t="s">
        <v>21</v>
      </c>
      <c r="B22" s="13">
        <v>40000</v>
      </c>
      <c r="C22" s="37">
        <v>40000</v>
      </c>
      <c r="D22" s="325" t="s">
        <v>40</v>
      </c>
      <c r="E22" s="325"/>
      <c r="F22" s="325"/>
    </row>
    <row r="23" spans="1:6" x14ac:dyDescent="0.2">
      <c r="A23" s="12" t="s">
        <v>22</v>
      </c>
      <c r="B23" s="13">
        <v>135000</v>
      </c>
      <c r="C23" s="37">
        <v>135000</v>
      </c>
      <c r="D23" s="325" t="s">
        <v>41</v>
      </c>
      <c r="E23" s="325"/>
      <c r="F23" s="325"/>
    </row>
    <row r="24" spans="1:6" x14ac:dyDescent="0.2">
      <c r="A24" s="14" t="s">
        <v>23</v>
      </c>
      <c r="B24" s="13">
        <f>200000+300000+600000</f>
        <v>1100000</v>
      </c>
      <c r="C24" s="37">
        <f>200000+300000+600000</f>
        <v>1100000</v>
      </c>
      <c r="D24" s="326" t="s">
        <v>42</v>
      </c>
      <c r="E24" s="325"/>
      <c r="F24" s="325"/>
    </row>
    <row r="25" spans="1:6" x14ac:dyDescent="0.2">
      <c r="A25" s="15" t="s">
        <v>24</v>
      </c>
      <c r="B25" s="16">
        <v>1100000</v>
      </c>
      <c r="C25" s="38">
        <v>1100000</v>
      </c>
      <c r="D25" s="325" t="s">
        <v>43</v>
      </c>
      <c r="E25" s="325"/>
      <c r="F25" s="325"/>
    </row>
    <row r="26" spans="1:6" x14ac:dyDescent="0.2">
      <c r="A26" s="14" t="s">
        <v>25</v>
      </c>
      <c r="B26" s="13">
        <v>100000</v>
      </c>
      <c r="C26" s="37">
        <v>100000</v>
      </c>
      <c r="D26" s="325" t="s">
        <v>44</v>
      </c>
      <c r="E26" s="325"/>
      <c r="F26" s="325"/>
    </row>
    <row r="27" spans="1:6" x14ac:dyDescent="0.2">
      <c r="A27" s="14" t="s">
        <v>26</v>
      </c>
      <c r="B27" s="13">
        <v>30000</v>
      </c>
      <c r="C27" s="37">
        <v>30000</v>
      </c>
      <c r="D27" s="325" t="s">
        <v>45</v>
      </c>
      <c r="E27" s="325"/>
      <c r="F27" s="325"/>
    </row>
    <row r="28" spans="1:6" x14ac:dyDescent="0.2">
      <c r="A28" s="14" t="s">
        <v>27</v>
      </c>
      <c r="B28" s="13">
        <v>90000</v>
      </c>
      <c r="C28" s="37">
        <v>90000</v>
      </c>
      <c r="D28" s="325" t="s">
        <v>46</v>
      </c>
      <c r="E28" s="325"/>
      <c r="F28" s="325"/>
    </row>
    <row r="29" spans="1:6" ht="17" thickBot="1" x14ac:dyDescent="0.25">
      <c r="A29" s="9" t="s">
        <v>28</v>
      </c>
      <c r="B29" s="8">
        <f>SUM(B12:B28)</f>
        <v>21056029.799325</v>
      </c>
      <c r="C29" s="39" t="e">
        <f>SUM(C13:C28)</f>
        <v>#REF!</v>
      </c>
      <c r="D29" s="324"/>
      <c r="E29" s="324"/>
      <c r="F29" s="324"/>
    </row>
    <row r="31" spans="1:6" x14ac:dyDescent="0.2">
      <c r="D31" t="s">
        <v>47</v>
      </c>
    </row>
    <row r="32" spans="1:6" x14ac:dyDescent="0.2">
      <c r="D32" t="s">
        <v>48</v>
      </c>
    </row>
    <row r="34" spans="1:3" x14ac:dyDescent="0.2">
      <c r="A34" t="s">
        <v>49</v>
      </c>
      <c r="B34" s="144">
        <f>F9-B29</f>
        <v>-10418029.799325</v>
      </c>
      <c r="C34" s="144" t="e">
        <f>F9-C29</f>
        <v>#REF!</v>
      </c>
    </row>
  </sheetData>
  <mergeCells count="20">
    <mergeCell ref="D28:F28"/>
    <mergeCell ref="D29:F29"/>
    <mergeCell ref="D22:F22"/>
    <mergeCell ref="D23:F23"/>
    <mergeCell ref="D24:F24"/>
    <mergeCell ref="D25:F25"/>
    <mergeCell ref="D26:F26"/>
    <mergeCell ref="D27:F27"/>
    <mergeCell ref="D21:F21"/>
    <mergeCell ref="D1:E1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B4C93-D610-4557-985D-7A56E9043817}">
  <sheetPr>
    <pageSetUpPr fitToPage="1"/>
  </sheetPr>
  <dimension ref="A1:I92"/>
  <sheetViews>
    <sheetView tabSelected="1" zoomScale="55" zoomScaleNormal="55" workbookViewId="0">
      <selection activeCell="H27" sqref="H27"/>
    </sheetView>
  </sheetViews>
  <sheetFormatPr baseColWidth="10" defaultColWidth="11.5" defaultRowHeight="15" x14ac:dyDescent="0.2"/>
  <cols>
    <col min="1" max="1" width="17.33203125" style="45" customWidth="1"/>
    <col min="2" max="2" width="59.33203125" customWidth="1"/>
    <col min="3" max="3" width="73.5" style="44" customWidth="1"/>
    <col min="4" max="4" width="17.83203125" customWidth="1"/>
    <col min="5" max="5" width="15.1640625" customWidth="1"/>
    <col min="6" max="6" width="17.83203125" customWidth="1"/>
    <col min="7" max="7" width="21.1640625" customWidth="1"/>
    <col min="8" max="8" width="16.5" customWidth="1"/>
    <col min="9" max="9" width="26.6640625" customWidth="1"/>
  </cols>
  <sheetData>
    <row r="1" spans="1:9" ht="21" x14ac:dyDescent="0.25">
      <c r="A1" s="82"/>
      <c r="B1" s="337" t="s">
        <v>230</v>
      </c>
      <c r="C1" s="338"/>
      <c r="D1" s="338"/>
      <c r="E1" s="338"/>
      <c r="F1" s="338"/>
      <c r="G1" s="338"/>
      <c r="H1" s="338"/>
      <c r="I1" s="338"/>
    </row>
    <row r="2" spans="1:9" ht="21" x14ac:dyDescent="0.25">
      <c r="B2" s="339" t="s">
        <v>50</v>
      </c>
      <c r="C2" s="339"/>
      <c r="D2" s="339"/>
      <c r="E2" s="339"/>
      <c r="F2" s="339"/>
      <c r="G2" s="339"/>
      <c r="H2" s="339"/>
      <c r="I2" s="339"/>
    </row>
    <row r="3" spans="1:9" ht="16" thickBot="1" x14ac:dyDescent="0.25">
      <c r="H3" t="s">
        <v>51</v>
      </c>
      <c r="I3" s="256">
        <f ca="1">TODAY()</f>
        <v>45693</v>
      </c>
    </row>
    <row r="4" spans="1:9" x14ac:dyDescent="0.2">
      <c r="B4" s="80"/>
      <c r="C4" s="72"/>
      <c r="D4" s="73"/>
      <c r="E4" s="73"/>
      <c r="F4" s="73"/>
      <c r="G4" s="73"/>
      <c r="H4" s="73"/>
      <c r="I4" s="258"/>
    </row>
    <row r="5" spans="1:9" x14ac:dyDescent="0.2">
      <c r="B5" s="259" t="s">
        <v>52</v>
      </c>
      <c r="C5" s="81"/>
      <c r="D5" s="81"/>
      <c r="E5" s="81"/>
      <c r="F5" s="81"/>
      <c r="G5" s="81"/>
      <c r="H5" s="81"/>
      <c r="I5" s="260"/>
    </row>
    <row r="6" spans="1:9" x14ac:dyDescent="0.2">
      <c r="B6" s="74"/>
      <c r="C6" s="44" t="s">
        <v>53</v>
      </c>
      <c r="E6" s="75" t="s">
        <v>54</v>
      </c>
      <c r="I6" s="59"/>
    </row>
    <row r="7" spans="1:9" x14ac:dyDescent="0.2">
      <c r="B7" s="57" t="s">
        <v>55</v>
      </c>
      <c r="C7" s="83"/>
      <c r="E7" s="75"/>
      <c r="I7" s="59"/>
    </row>
    <row r="8" spans="1:9" x14ac:dyDescent="0.2">
      <c r="B8" s="57"/>
      <c r="C8" s="82"/>
      <c r="G8" s="71"/>
      <c r="H8" s="71" t="s">
        <v>57</v>
      </c>
      <c r="I8" s="71" t="s">
        <v>58</v>
      </c>
    </row>
    <row r="9" spans="1:9" x14ac:dyDescent="0.2">
      <c r="B9" s="262"/>
      <c r="C9" s="82"/>
      <c r="E9" s="340"/>
      <c r="F9" s="341"/>
      <c r="G9" s="71"/>
      <c r="H9" s="82"/>
      <c r="I9" s="292"/>
    </row>
    <row r="10" spans="1:9" x14ac:dyDescent="0.2">
      <c r="B10" s="262"/>
      <c r="C10" s="82"/>
      <c r="E10" s="340"/>
      <c r="F10" s="341"/>
      <c r="G10" s="71"/>
      <c r="H10" s="82"/>
      <c r="I10" s="292"/>
    </row>
    <row r="11" spans="1:9" ht="16" thickBot="1" x14ac:dyDescent="0.25">
      <c r="B11" s="262"/>
      <c r="C11" s="82"/>
      <c r="E11" s="342"/>
      <c r="F11" s="343"/>
      <c r="G11" s="278"/>
      <c r="H11" s="279"/>
      <c r="I11" s="293"/>
    </row>
    <row r="12" spans="1:9" x14ac:dyDescent="0.2">
      <c r="B12" s="57"/>
      <c r="C12" s="82"/>
      <c r="E12" s="344"/>
      <c r="F12" s="345"/>
      <c r="G12" s="280"/>
      <c r="H12" s="281"/>
      <c r="I12" s="294"/>
    </row>
    <row r="13" spans="1:9" ht="15.5" customHeight="1" x14ac:dyDescent="0.2">
      <c r="B13" s="57" t="s">
        <v>63</v>
      </c>
      <c r="C13" s="82"/>
      <c r="E13" s="327"/>
      <c r="F13" s="328"/>
      <c r="G13" s="277"/>
      <c r="H13" s="82"/>
      <c r="I13" s="292"/>
    </row>
    <row r="14" spans="1:9" ht="15.5" customHeight="1" x14ac:dyDescent="0.2">
      <c r="B14" s="57" t="s">
        <v>64</v>
      </c>
      <c r="C14" s="82"/>
      <c r="E14" s="329"/>
      <c r="F14" s="330"/>
      <c r="G14" s="276"/>
      <c r="H14" s="82"/>
      <c r="I14" s="292"/>
    </row>
    <row r="15" spans="1:9" ht="16" thickBot="1" x14ac:dyDescent="0.25">
      <c r="B15" s="76"/>
      <c r="C15" s="77"/>
      <c r="D15" s="78"/>
      <c r="E15" s="78"/>
      <c r="F15" s="78"/>
      <c r="G15" s="78"/>
      <c r="H15" s="78"/>
      <c r="I15" s="295"/>
    </row>
    <row r="16" spans="1:9" ht="16" thickBot="1" x14ac:dyDescent="0.25"/>
    <row r="17" spans="1:9" ht="17" thickBot="1" x14ac:dyDescent="0.25">
      <c r="B17" s="331" t="s">
        <v>65</v>
      </c>
      <c r="C17" s="332"/>
      <c r="D17" s="332"/>
      <c r="E17" s="332"/>
      <c r="F17" s="332"/>
      <c r="G17" s="332"/>
      <c r="H17" s="332"/>
      <c r="I17" s="333"/>
    </row>
    <row r="18" spans="1:9" x14ac:dyDescent="0.2">
      <c r="B18" s="74"/>
      <c r="C18" s="67" t="s">
        <v>66</v>
      </c>
      <c r="D18" s="68" t="s">
        <v>67</v>
      </c>
      <c r="E18" s="69" t="s">
        <v>68</v>
      </c>
      <c r="F18" s="70" t="s">
        <v>69</v>
      </c>
      <c r="G18" s="54" t="s">
        <v>70</v>
      </c>
      <c r="H18" s="55" t="s">
        <v>71</v>
      </c>
      <c r="I18" s="58" t="s">
        <v>72</v>
      </c>
    </row>
    <row r="19" spans="1:9" x14ac:dyDescent="0.2">
      <c r="A19" s="45" t="s">
        <v>73</v>
      </c>
      <c r="B19" s="300" t="s">
        <v>231</v>
      </c>
      <c r="C19" s="132"/>
      <c r="D19" s="56"/>
      <c r="E19" s="53"/>
      <c r="F19" s="155"/>
      <c r="G19" s="85"/>
      <c r="H19" s="86"/>
      <c r="I19" s="301"/>
    </row>
    <row r="20" spans="1:9" x14ac:dyDescent="0.2">
      <c r="B20" s="74"/>
      <c r="C20" s="131"/>
      <c r="D20" s="169"/>
      <c r="E20" s="170"/>
      <c r="F20" s="162"/>
      <c r="G20" s="87"/>
      <c r="H20" s="88"/>
      <c r="I20" s="302"/>
    </row>
    <row r="21" spans="1:9" x14ac:dyDescent="0.2">
      <c r="B21" s="74"/>
      <c r="C21" s="131"/>
      <c r="D21" s="291"/>
      <c r="E21" s="170"/>
      <c r="F21" s="162"/>
      <c r="G21" s="87"/>
      <c r="H21" s="88"/>
      <c r="I21" s="302"/>
    </row>
    <row r="22" spans="1:9" hidden="1" x14ac:dyDescent="0.2">
      <c r="B22" s="74"/>
      <c r="C22" s="131"/>
      <c r="D22" s="184"/>
      <c r="E22" s="171"/>
      <c r="F22" s="162"/>
      <c r="G22" s="87"/>
      <c r="H22" s="88"/>
      <c r="I22" s="302"/>
    </row>
    <row r="23" spans="1:9" hidden="1" x14ac:dyDescent="0.2">
      <c r="B23" s="74"/>
      <c r="C23" s="131"/>
      <c r="D23" s="169"/>
      <c r="E23" s="170"/>
      <c r="F23" s="162"/>
      <c r="G23" s="87"/>
      <c r="H23" s="88"/>
      <c r="I23" s="302"/>
    </row>
    <row r="24" spans="1:9" x14ac:dyDescent="0.2">
      <c r="B24" s="303" t="s">
        <v>76</v>
      </c>
      <c r="C24" s="133"/>
      <c r="D24" s="159"/>
      <c r="E24" s="160"/>
      <c r="F24" s="161"/>
      <c r="G24" s="89">
        <f>SUM(G20:G23)</f>
        <v>0</v>
      </c>
      <c r="H24" s="90">
        <f>SUM(H20:H22)</f>
        <v>0</v>
      </c>
      <c r="I24" s="304">
        <f>SUM(I20:I23)</f>
        <v>0</v>
      </c>
    </row>
    <row r="25" spans="1:9" ht="7.5" customHeight="1" x14ac:dyDescent="0.2">
      <c r="B25" s="305"/>
      <c r="C25" s="131"/>
      <c r="D25" s="156"/>
      <c r="E25" s="157"/>
      <c r="F25" s="162"/>
      <c r="G25" s="91"/>
      <c r="H25" s="92"/>
      <c r="I25" s="306"/>
    </row>
    <row r="26" spans="1:9" x14ac:dyDescent="0.2">
      <c r="A26" s="45" t="s">
        <v>77</v>
      </c>
      <c r="B26" s="300" t="s">
        <v>78</v>
      </c>
      <c r="C26" s="132"/>
      <c r="D26" s="163"/>
      <c r="E26" s="164"/>
      <c r="F26" s="165"/>
      <c r="G26" s="85"/>
      <c r="H26" s="86"/>
      <c r="I26" s="301"/>
    </row>
    <row r="27" spans="1:9" x14ac:dyDescent="0.2">
      <c r="A27" s="45" t="s">
        <v>79</v>
      </c>
      <c r="B27" s="307" t="s">
        <v>15</v>
      </c>
      <c r="C27" s="134"/>
      <c r="D27" s="166"/>
      <c r="E27" s="167"/>
      <c r="F27" s="168"/>
      <c r="G27" s="93"/>
      <c r="H27" s="94"/>
      <c r="I27" s="308"/>
    </row>
    <row r="28" spans="1:9" x14ac:dyDescent="0.2">
      <c r="B28" s="309" t="s">
        <v>80</v>
      </c>
      <c r="C28" s="131"/>
      <c r="D28" s="184"/>
      <c r="E28" s="157"/>
      <c r="F28" s="158"/>
      <c r="G28" s="152"/>
      <c r="H28" s="153"/>
      <c r="I28" s="310"/>
    </row>
    <row r="29" spans="1:9" x14ac:dyDescent="0.2">
      <c r="B29" s="311" t="s">
        <v>81</v>
      </c>
      <c r="C29" s="149"/>
      <c r="D29" s="289"/>
      <c r="E29" s="296"/>
      <c r="F29" s="177"/>
      <c r="G29" s="150"/>
      <c r="H29" s="151"/>
      <c r="I29" s="312"/>
    </row>
    <row r="30" spans="1:9" x14ac:dyDescent="0.2">
      <c r="B30" s="311" t="s">
        <v>232</v>
      </c>
      <c r="C30" s="149"/>
      <c r="D30" s="289"/>
      <c r="E30" s="296"/>
      <c r="F30" s="177"/>
      <c r="G30" s="150"/>
      <c r="H30" s="151"/>
      <c r="I30" s="312"/>
    </row>
    <row r="31" spans="1:9" x14ac:dyDescent="0.2">
      <c r="B31" s="311" t="s">
        <v>82</v>
      </c>
      <c r="C31" s="149"/>
      <c r="D31" s="289"/>
      <c r="E31" s="296"/>
      <c r="F31" s="177"/>
      <c r="G31" s="150"/>
      <c r="H31" s="151"/>
      <c r="I31" s="312"/>
    </row>
    <row r="32" spans="1:9" x14ac:dyDescent="0.2">
      <c r="B32" s="311"/>
      <c r="C32" s="149"/>
      <c r="D32" s="175"/>
      <c r="E32" s="176"/>
      <c r="F32" s="261"/>
      <c r="G32" s="150"/>
      <c r="H32" s="151"/>
      <c r="I32" s="312"/>
    </row>
    <row r="33" spans="1:9" hidden="1" x14ac:dyDescent="0.2">
      <c r="B33" s="74"/>
      <c r="C33" s="131"/>
      <c r="D33" s="169"/>
      <c r="E33" s="170"/>
      <c r="F33" s="158"/>
      <c r="G33" s="87"/>
      <c r="H33" s="88"/>
      <c r="I33" s="302"/>
    </row>
    <row r="34" spans="1:9" x14ac:dyDescent="0.2">
      <c r="B34" s="74"/>
      <c r="C34" s="131"/>
      <c r="D34" s="169"/>
      <c r="E34" s="170"/>
      <c r="F34" s="158"/>
      <c r="G34" s="87"/>
      <c r="H34" s="88"/>
      <c r="I34" s="302"/>
    </row>
    <row r="35" spans="1:9" x14ac:dyDescent="0.2">
      <c r="B35" s="303" t="s">
        <v>83</v>
      </c>
      <c r="C35" s="133"/>
      <c r="D35" s="159"/>
      <c r="E35" s="160"/>
      <c r="F35" s="161"/>
      <c r="G35" s="95">
        <f>SUM(G28)</f>
        <v>0</v>
      </c>
      <c r="H35" s="95">
        <f t="shared" ref="H35:I35" si="0">SUM(H29:H32)</f>
        <v>0</v>
      </c>
      <c r="I35" s="313">
        <f t="shared" si="0"/>
        <v>0</v>
      </c>
    </row>
    <row r="36" spans="1:9" ht="8.25" customHeight="1" x14ac:dyDescent="0.2">
      <c r="B36" s="305"/>
      <c r="C36" s="131"/>
      <c r="D36" s="156"/>
      <c r="E36" s="157"/>
      <c r="F36" s="162"/>
      <c r="G36" s="91"/>
      <c r="H36" s="92"/>
      <c r="I36" s="306"/>
    </row>
    <row r="37" spans="1:9" x14ac:dyDescent="0.2">
      <c r="A37" s="45" t="s">
        <v>84</v>
      </c>
      <c r="B37" s="300" t="s">
        <v>85</v>
      </c>
      <c r="C37" s="132"/>
      <c r="D37" s="163"/>
      <c r="E37" s="164"/>
      <c r="F37" s="165"/>
      <c r="G37" s="85"/>
      <c r="H37" s="86"/>
      <c r="I37" s="301"/>
    </row>
    <row r="38" spans="1:9" x14ac:dyDescent="0.2">
      <c r="A38" s="45" t="s">
        <v>86</v>
      </c>
      <c r="B38" s="307" t="s">
        <v>87</v>
      </c>
      <c r="C38" s="136"/>
      <c r="D38" s="179"/>
      <c r="E38" s="180"/>
      <c r="F38" s="181"/>
      <c r="G38" s="97"/>
      <c r="H38" s="98"/>
      <c r="I38" s="99"/>
    </row>
    <row r="39" spans="1:9" x14ac:dyDescent="0.2">
      <c r="B39" s="74" t="s">
        <v>89</v>
      </c>
      <c r="C39" s="131"/>
      <c r="D39" s="169"/>
      <c r="E39" s="170"/>
      <c r="F39" s="158"/>
      <c r="G39" s="87"/>
      <c r="H39" s="88"/>
      <c r="I39" s="302"/>
    </row>
    <row r="40" spans="1:9" x14ac:dyDescent="0.2">
      <c r="B40" s="74" t="s">
        <v>91</v>
      </c>
      <c r="C40" s="131"/>
      <c r="D40" s="182"/>
      <c r="E40" s="183"/>
      <c r="F40" s="158"/>
      <c r="G40" s="87"/>
      <c r="H40" s="88"/>
      <c r="I40" s="302"/>
    </row>
    <row r="41" spans="1:9" x14ac:dyDescent="0.2">
      <c r="B41" s="74" t="s">
        <v>24</v>
      </c>
      <c r="C41" s="131"/>
      <c r="D41" s="184"/>
      <c r="E41" s="183"/>
      <c r="F41" s="158"/>
      <c r="G41" s="87"/>
      <c r="H41" s="88"/>
      <c r="I41" s="302"/>
    </row>
    <row r="42" spans="1:9" x14ac:dyDescent="0.2">
      <c r="B42" s="74" t="s">
        <v>94</v>
      </c>
      <c r="C42" s="131"/>
      <c r="D42" s="169"/>
      <c r="E42" s="170"/>
      <c r="F42" s="158"/>
      <c r="G42" s="87"/>
      <c r="H42" s="88"/>
      <c r="I42" s="302"/>
    </row>
    <row r="43" spans="1:9" x14ac:dyDescent="0.2">
      <c r="B43" s="314" t="s">
        <v>96</v>
      </c>
      <c r="C43" s="137"/>
      <c r="D43" s="185"/>
      <c r="E43" s="186"/>
      <c r="F43" s="187"/>
      <c r="G43" s="100">
        <f>SUM(G39:G42)</f>
        <v>0</v>
      </c>
      <c r="H43" s="101">
        <f>SUM(H39:H42)</f>
        <v>0</v>
      </c>
      <c r="I43" s="102">
        <f>SUM(I39:I42)</f>
        <v>0</v>
      </c>
    </row>
    <row r="44" spans="1:9" x14ac:dyDescent="0.2">
      <c r="A44" s="45" t="s">
        <v>97</v>
      </c>
      <c r="B44" s="307" t="s">
        <v>98</v>
      </c>
      <c r="C44" s="136"/>
      <c r="D44" s="179"/>
      <c r="E44" s="180"/>
      <c r="F44" s="181"/>
      <c r="G44" s="97"/>
      <c r="H44" s="98"/>
      <c r="I44" s="99"/>
    </row>
    <row r="45" spans="1:9" x14ac:dyDescent="0.2">
      <c r="B45" s="74" t="s">
        <v>91</v>
      </c>
      <c r="C45" s="131"/>
      <c r="D45" s="156"/>
      <c r="E45" s="282"/>
      <c r="F45" s="158"/>
      <c r="G45" s="87"/>
      <c r="H45" s="88"/>
      <c r="I45" s="302"/>
    </row>
    <row r="46" spans="1:9" x14ac:dyDescent="0.2">
      <c r="B46" s="315" t="s">
        <v>233</v>
      </c>
      <c r="C46" s="131"/>
      <c r="D46" s="297"/>
      <c r="E46" s="298"/>
      <c r="F46" s="158"/>
      <c r="G46" s="103"/>
      <c r="H46" s="88"/>
      <c r="I46" s="302"/>
    </row>
    <row r="47" spans="1:9" x14ac:dyDescent="0.2">
      <c r="B47" s="74" t="s">
        <v>99</v>
      </c>
      <c r="C47" s="131"/>
      <c r="D47" s="297"/>
      <c r="E47" s="298"/>
      <c r="F47" s="158"/>
      <c r="G47" s="103"/>
      <c r="H47" s="88"/>
      <c r="I47" s="302"/>
    </row>
    <row r="48" spans="1:9" x14ac:dyDescent="0.2">
      <c r="B48" s="315" t="s">
        <v>233</v>
      </c>
      <c r="C48" s="131"/>
      <c r="D48" s="297"/>
      <c r="E48" s="298"/>
      <c r="F48" s="158"/>
      <c r="G48" s="103"/>
      <c r="H48" s="88"/>
      <c r="I48" s="302"/>
    </row>
    <row r="49" spans="1:9" x14ac:dyDescent="0.2">
      <c r="B49" s="74" t="s">
        <v>100</v>
      </c>
      <c r="C49" s="131"/>
      <c r="D49" s="297"/>
      <c r="E49" s="298"/>
      <c r="F49" s="158"/>
      <c r="G49" s="103"/>
      <c r="H49" s="88"/>
      <c r="I49" s="302"/>
    </row>
    <row r="50" spans="1:9" x14ac:dyDescent="0.2">
      <c r="B50" s="315" t="s">
        <v>233</v>
      </c>
      <c r="C50" s="131"/>
      <c r="D50" s="297"/>
      <c r="E50" s="298"/>
      <c r="F50" s="158"/>
      <c r="G50" s="103"/>
      <c r="H50" s="88"/>
      <c r="I50" s="302"/>
    </row>
    <row r="51" spans="1:9" x14ac:dyDescent="0.2">
      <c r="B51" s="314" t="s">
        <v>235</v>
      </c>
      <c r="C51" s="137"/>
      <c r="D51" s="185"/>
      <c r="E51" s="186"/>
      <c r="F51" s="187"/>
      <c r="G51" s="100">
        <f ca="1">SUM(G45:G51)</f>
        <v>0</v>
      </c>
      <c r="H51" s="101">
        <f>SUM(H45:H50)</f>
        <v>0</v>
      </c>
      <c r="I51" s="102">
        <f>SUM(I45:I50)</f>
        <v>0</v>
      </c>
    </row>
    <row r="52" spans="1:9" x14ac:dyDescent="0.2">
      <c r="B52" s="303" t="s">
        <v>101</v>
      </c>
      <c r="C52" s="138"/>
      <c r="D52" s="190"/>
      <c r="E52" s="191"/>
      <c r="F52" s="192"/>
      <c r="G52" s="104">
        <f ca="1">G51+G43</f>
        <v>0</v>
      </c>
      <c r="H52" s="104">
        <f>+H51+H43</f>
        <v>0</v>
      </c>
      <c r="I52" s="316">
        <f>I51+I43</f>
        <v>0</v>
      </c>
    </row>
    <row r="53" spans="1:9" ht="8.25" customHeight="1" x14ac:dyDescent="0.2">
      <c r="B53" s="305"/>
      <c r="C53" s="139"/>
      <c r="D53" s="193"/>
      <c r="E53" s="194"/>
      <c r="F53" s="195"/>
      <c r="G53" s="107"/>
      <c r="H53" s="108"/>
      <c r="I53" s="317"/>
    </row>
    <row r="54" spans="1:9" x14ac:dyDescent="0.2">
      <c r="A54" s="45" t="s">
        <v>102</v>
      </c>
      <c r="B54" s="300" t="s">
        <v>103</v>
      </c>
      <c r="C54" s="140"/>
      <c r="D54" s="196"/>
      <c r="E54" s="197"/>
      <c r="F54" s="198"/>
      <c r="G54" s="109"/>
      <c r="H54" s="110"/>
      <c r="I54" s="111"/>
    </row>
    <row r="55" spans="1:9" x14ac:dyDescent="0.2">
      <c r="B55" s="318" t="s">
        <v>104</v>
      </c>
      <c r="C55" s="131"/>
      <c r="D55" s="169"/>
      <c r="E55" s="170"/>
      <c r="F55" s="162"/>
      <c r="G55" s="87"/>
      <c r="H55" s="88"/>
      <c r="I55" s="302"/>
    </row>
    <row r="56" spans="1:9" x14ac:dyDescent="0.2">
      <c r="B56" s="74" t="s">
        <v>105</v>
      </c>
      <c r="C56" s="131"/>
      <c r="D56" s="169"/>
      <c r="E56" s="170"/>
      <c r="F56" s="162"/>
      <c r="G56" s="87"/>
      <c r="H56" s="88"/>
      <c r="I56" s="302"/>
    </row>
    <row r="57" spans="1:9" x14ac:dyDescent="0.2">
      <c r="B57" s="74" t="s">
        <v>106</v>
      </c>
      <c r="C57" s="131"/>
      <c r="D57" s="169"/>
      <c r="E57" s="170"/>
      <c r="F57" s="162"/>
      <c r="G57" s="87"/>
      <c r="H57" s="88"/>
      <c r="I57" s="302"/>
    </row>
    <row r="58" spans="1:9" x14ac:dyDescent="0.2">
      <c r="B58" s="74" t="s">
        <v>107</v>
      </c>
      <c r="C58" s="131"/>
      <c r="D58" s="169"/>
      <c r="E58" s="170"/>
      <c r="F58" s="162"/>
      <c r="G58" s="87"/>
      <c r="H58" s="88"/>
      <c r="I58" s="302"/>
    </row>
    <row r="59" spans="1:9" x14ac:dyDescent="0.2">
      <c r="B59" s="303" t="s">
        <v>108</v>
      </c>
      <c r="C59" s="138"/>
      <c r="D59" s="190"/>
      <c r="E59" s="191"/>
      <c r="F59" s="192"/>
      <c r="G59" s="104">
        <f>SUM(G55:G58)</f>
        <v>0</v>
      </c>
      <c r="H59" s="104">
        <f t="shared" ref="H59:I59" si="1">SUM(H55:H58)</f>
        <v>0</v>
      </c>
      <c r="I59" s="316">
        <f t="shared" si="1"/>
        <v>0</v>
      </c>
    </row>
    <row r="60" spans="1:9" ht="8.25" customHeight="1" x14ac:dyDescent="0.2">
      <c r="B60" s="305"/>
      <c r="C60" s="139"/>
      <c r="D60" s="193"/>
      <c r="E60" s="194"/>
      <c r="F60" s="195"/>
      <c r="G60" s="107"/>
      <c r="H60" s="108"/>
      <c r="I60" s="317"/>
    </row>
    <row r="61" spans="1:9" x14ac:dyDescent="0.2">
      <c r="A61" s="45" t="s">
        <v>109</v>
      </c>
      <c r="B61" s="300" t="s">
        <v>110</v>
      </c>
      <c r="C61" s="140"/>
      <c r="D61" s="196"/>
      <c r="E61" s="197"/>
      <c r="F61" s="198"/>
      <c r="G61" s="109"/>
      <c r="H61" s="110"/>
      <c r="I61" s="111"/>
    </row>
    <row r="62" spans="1:9" x14ac:dyDescent="0.2">
      <c r="B62" s="307" t="s">
        <v>236</v>
      </c>
      <c r="C62" s="136"/>
      <c r="D62" s="179"/>
      <c r="E62" s="180"/>
      <c r="F62" s="181"/>
      <c r="G62" s="97"/>
      <c r="H62" s="98"/>
      <c r="I62" s="99"/>
    </row>
    <row r="63" spans="1:9" ht="14.5" customHeight="1" x14ac:dyDescent="0.2">
      <c r="B63" s="318"/>
      <c r="C63" s="290"/>
      <c r="D63" s="169"/>
      <c r="E63" s="170"/>
      <c r="F63" s="162"/>
      <c r="G63" s="91"/>
      <c r="H63" s="88"/>
      <c r="I63" s="302"/>
    </row>
    <row r="64" spans="1:9" x14ac:dyDescent="0.2">
      <c r="B64" s="318"/>
      <c r="C64" s="131"/>
      <c r="D64" s="169"/>
      <c r="E64" s="170"/>
      <c r="F64" s="162"/>
      <c r="G64" s="91"/>
      <c r="H64" s="88"/>
      <c r="I64" s="302"/>
    </row>
    <row r="65" spans="1:9" x14ac:dyDescent="0.2">
      <c r="B65" s="318"/>
      <c r="C65" s="131"/>
      <c r="D65" s="169"/>
      <c r="E65" s="170"/>
      <c r="F65" s="162"/>
      <c r="G65" s="91"/>
      <c r="H65" s="88"/>
      <c r="I65" s="302"/>
    </row>
    <row r="66" spans="1:9" x14ac:dyDescent="0.2">
      <c r="B66" s="314" t="s">
        <v>237</v>
      </c>
      <c r="C66" s="137"/>
      <c r="D66" s="185"/>
      <c r="E66" s="186"/>
      <c r="F66" s="187"/>
      <c r="G66" s="100">
        <f>SUM(G63:G65)</f>
        <v>0</v>
      </c>
      <c r="H66" s="101">
        <f t="shared" ref="H66:I66" si="2">SUM(H63:H65)</f>
        <v>0</v>
      </c>
      <c r="I66" s="102">
        <f t="shared" si="2"/>
        <v>0</v>
      </c>
    </row>
    <row r="67" spans="1:9" x14ac:dyDescent="0.2">
      <c r="B67" s="307" t="s">
        <v>114</v>
      </c>
      <c r="C67" s="136"/>
      <c r="D67" s="179"/>
      <c r="E67" s="180"/>
      <c r="F67" s="181"/>
      <c r="G67" s="97"/>
      <c r="H67" s="98"/>
      <c r="I67" s="99"/>
    </row>
    <row r="68" spans="1:9" x14ac:dyDescent="0.2">
      <c r="B68" s="318" t="s">
        <v>115</v>
      </c>
      <c r="C68" s="131"/>
      <c r="D68" s="169"/>
      <c r="E68" s="213"/>
      <c r="F68" s="158"/>
      <c r="G68" s="87"/>
      <c r="H68" s="88"/>
      <c r="I68" s="302"/>
    </row>
    <row r="69" spans="1:9" x14ac:dyDescent="0.2">
      <c r="B69" s="318" t="s">
        <v>117</v>
      </c>
      <c r="C69" s="131"/>
      <c r="D69" s="169"/>
      <c r="E69" s="213"/>
      <c r="F69" s="158"/>
      <c r="G69" s="87"/>
      <c r="H69" s="88"/>
      <c r="I69" s="302"/>
    </row>
    <row r="70" spans="1:9" x14ac:dyDescent="0.2">
      <c r="B70" s="318" t="s">
        <v>118</v>
      </c>
      <c r="C70" s="131"/>
      <c r="D70" s="169"/>
      <c r="E70" s="213"/>
      <c r="F70" s="158"/>
      <c r="G70" s="87"/>
      <c r="H70" s="88"/>
      <c r="I70" s="302"/>
    </row>
    <row r="71" spans="1:9" x14ac:dyDescent="0.2">
      <c r="B71" s="318" t="s">
        <v>120</v>
      </c>
      <c r="C71" s="131"/>
      <c r="D71" s="169"/>
      <c r="E71" s="213"/>
      <c r="F71" s="158"/>
      <c r="G71" s="87"/>
      <c r="H71" s="88"/>
      <c r="I71" s="302"/>
    </row>
    <row r="72" spans="1:9" x14ac:dyDescent="0.2">
      <c r="B72" s="318" t="s">
        <v>121</v>
      </c>
      <c r="C72" s="131"/>
      <c r="D72" s="169"/>
      <c r="E72" s="213"/>
      <c r="F72" s="158"/>
      <c r="G72" s="87"/>
      <c r="H72" s="88"/>
      <c r="I72" s="302"/>
    </row>
    <row r="73" spans="1:9" x14ac:dyDescent="0.2">
      <c r="B73" s="318" t="s">
        <v>122</v>
      </c>
      <c r="C73" s="131"/>
      <c r="D73" s="169"/>
      <c r="E73" s="213"/>
      <c r="F73" s="158"/>
      <c r="G73" s="87"/>
      <c r="H73" s="88"/>
      <c r="I73" s="302"/>
    </row>
    <row r="74" spans="1:9" x14ac:dyDescent="0.2">
      <c r="B74" s="318" t="s">
        <v>123</v>
      </c>
      <c r="C74" s="131"/>
      <c r="D74" s="169"/>
      <c r="E74" s="170"/>
      <c r="F74" s="158"/>
      <c r="G74" s="87"/>
      <c r="H74" s="88"/>
      <c r="I74" s="302"/>
    </row>
    <row r="75" spans="1:9" x14ac:dyDescent="0.2">
      <c r="B75" s="314" t="s">
        <v>124</v>
      </c>
      <c r="C75" s="137"/>
      <c r="D75" s="185"/>
      <c r="E75" s="186"/>
      <c r="F75" s="187"/>
      <c r="G75" s="100">
        <f>SUM(G68:G74)</f>
        <v>0</v>
      </c>
      <c r="H75" s="101">
        <f>SUM(H68:H74)</f>
        <v>0</v>
      </c>
      <c r="I75" s="102">
        <f>SUM(I68:I74)</f>
        <v>0</v>
      </c>
    </row>
    <row r="76" spans="1:9" x14ac:dyDescent="0.2">
      <c r="B76" s="303" t="s">
        <v>125</v>
      </c>
      <c r="C76" s="138"/>
      <c r="D76" s="190"/>
      <c r="E76" s="191"/>
      <c r="F76" s="192"/>
      <c r="G76" s="104">
        <f>G66+G75</f>
        <v>0</v>
      </c>
      <c r="H76" s="105">
        <f t="shared" ref="H76" si="3">H66+H75</f>
        <v>0</v>
      </c>
      <c r="I76" s="106">
        <f>I66+I75</f>
        <v>0</v>
      </c>
    </row>
    <row r="77" spans="1:9" ht="16" thickBot="1" x14ac:dyDescent="0.25">
      <c r="B77" s="319"/>
      <c r="C77" s="206"/>
      <c r="D77" s="207"/>
      <c r="E77" s="208"/>
      <c r="F77" s="209"/>
      <c r="G77" s="210"/>
      <c r="H77" s="211"/>
      <c r="I77" s="212"/>
    </row>
    <row r="78" spans="1:9" ht="16" thickBot="1" x14ac:dyDescent="0.25">
      <c r="B78" s="129" t="s">
        <v>126</v>
      </c>
      <c r="C78" s="203"/>
      <c r="D78" s="203"/>
      <c r="E78" s="203"/>
      <c r="F78" s="203"/>
      <c r="G78" s="203">
        <f ca="1">G24+G35+G52+G59+G76</f>
        <v>0</v>
      </c>
      <c r="H78" s="203">
        <f>H24+H35+H52+H59+H76</f>
        <v>0</v>
      </c>
      <c r="I78" s="204">
        <f>I24+I35+I52+I59+I76</f>
        <v>0</v>
      </c>
    </row>
    <row r="79" spans="1:9" s="321" customFormat="1" ht="16" x14ac:dyDescent="0.2">
      <c r="A79" s="45"/>
      <c r="B79" s="74"/>
      <c r="C79" s="44"/>
      <c r="D79"/>
      <c r="E79"/>
      <c r="F79"/>
      <c r="G79"/>
      <c r="H79"/>
      <c r="I79" s="59"/>
    </row>
    <row r="80" spans="1:9" s="321" customFormat="1" ht="16" x14ac:dyDescent="0.2">
      <c r="A80" s="45"/>
      <c r="B80" s="334" t="s">
        <v>127</v>
      </c>
      <c r="C80" s="335"/>
      <c r="D80" s="335"/>
      <c r="E80" s="335"/>
      <c r="F80" s="335"/>
      <c r="G80" s="335"/>
      <c r="H80" s="335"/>
      <c r="I80" s="336"/>
    </row>
    <row r="81" spans="2:9" x14ac:dyDescent="0.2">
      <c r="B81" s="307" t="s">
        <v>128</v>
      </c>
      <c r="C81" s="136"/>
      <c r="D81" s="179"/>
      <c r="E81" s="180"/>
      <c r="F81" s="181"/>
      <c r="G81" s="97">
        <f>+SUM(G82)</f>
        <v>0</v>
      </c>
      <c r="H81" s="97">
        <f t="shared" ref="H81:I83" si="4">+SUM(H82)</f>
        <v>0</v>
      </c>
      <c r="I81" s="320">
        <f t="shared" si="4"/>
        <v>0</v>
      </c>
    </row>
    <row r="82" spans="2:9" ht="16.5" customHeight="1" x14ac:dyDescent="0.2">
      <c r="B82" s="262" t="s">
        <v>129</v>
      </c>
      <c r="C82" s="290"/>
      <c r="D82" s="169"/>
      <c r="E82" s="170"/>
      <c r="F82" s="162"/>
      <c r="G82" s="91"/>
      <c r="H82" s="88"/>
      <c r="I82" s="302"/>
    </row>
    <row r="83" spans="2:9" x14ac:dyDescent="0.2">
      <c r="B83" s="307" t="s">
        <v>234</v>
      </c>
      <c r="C83" s="136"/>
      <c r="D83" s="179"/>
      <c r="E83" s="180"/>
      <c r="F83" s="181"/>
      <c r="G83" s="97">
        <f>+SUM(G84)</f>
        <v>0</v>
      </c>
      <c r="H83" s="97">
        <f t="shared" si="4"/>
        <v>0</v>
      </c>
      <c r="I83" s="320">
        <f t="shared" si="4"/>
        <v>0</v>
      </c>
    </row>
    <row r="84" spans="2:9" ht="14.5" customHeight="1" x14ac:dyDescent="0.2">
      <c r="B84" s="262"/>
      <c r="C84" s="290"/>
      <c r="D84" s="188"/>
      <c r="E84" s="189"/>
      <c r="F84" s="162"/>
      <c r="G84" s="299"/>
      <c r="H84" s="243"/>
      <c r="I84" s="302"/>
    </row>
    <row r="85" spans="2:9" x14ac:dyDescent="0.2">
      <c r="B85" s="307" t="s">
        <v>130</v>
      </c>
      <c r="C85" s="136"/>
      <c r="D85" s="179"/>
      <c r="E85" s="180"/>
      <c r="F85" s="181"/>
      <c r="G85" s="97">
        <f>SUM(G86:G86)</f>
        <v>0</v>
      </c>
      <c r="H85" s="97">
        <f>SUM(H86:H86)</f>
        <v>0</v>
      </c>
      <c r="I85" s="320">
        <f>SUM(I86:I86)</f>
        <v>0</v>
      </c>
    </row>
    <row r="86" spans="2:9" x14ac:dyDescent="0.2">
      <c r="B86" s="262"/>
      <c r="C86" s="131"/>
      <c r="D86" s="169"/>
      <c r="E86" s="170"/>
      <c r="F86" s="162"/>
      <c r="G86" s="91"/>
      <c r="H86" s="88"/>
      <c r="I86" s="302"/>
    </row>
    <row r="87" spans="2:9" x14ac:dyDescent="0.2">
      <c r="B87" s="307" t="s">
        <v>131</v>
      </c>
      <c r="C87" s="136"/>
      <c r="D87" s="179"/>
      <c r="E87" s="180"/>
      <c r="F87" s="181"/>
      <c r="G87" s="97">
        <f>+SUM(G88:G88)</f>
        <v>0</v>
      </c>
      <c r="H87" s="97">
        <f>+SUM(H88:H88)</f>
        <v>0</v>
      </c>
      <c r="I87" s="320">
        <f>+SUM(I88:I88)</f>
        <v>0</v>
      </c>
    </row>
    <row r="88" spans="2:9" ht="16" thickBot="1" x14ac:dyDescent="0.25">
      <c r="B88" s="262"/>
      <c r="C88" s="131"/>
      <c r="D88" s="169"/>
      <c r="E88" s="170"/>
      <c r="F88" s="162"/>
      <c r="G88" s="91"/>
      <c r="H88" s="88"/>
      <c r="I88" s="302"/>
    </row>
    <row r="89" spans="2:9" ht="16" thickBot="1" x14ac:dyDescent="0.25">
      <c r="B89" s="129" t="s">
        <v>126</v>
      </c>
      <c r="C89" s="203"/>
      <c r="D89" s="203"/>
      <c r="E89" s="203"/>
      <c r="F89" s="203"/>
      <c r="G89" s="203">
        <f>G87+G85+G83+G81</f>
        <v>0</v>
      </c>
      <c r="H89" s="203">
        <f>H87+H85+H83+H81</f>
        <v>0</v>
      </c>
      <c r="I89" s="204">
        <f>I87+I85+I83+I81</f>
        <v>0</v>
      </c>
    </row>
    <row r="92" spans="2:9" x14ac:dyDescent="0.2">
      <c r="C92" s="44" t="s">
        <v>238</v>
      </c>
    </row>
  </sheetData>
  <mergeCells count="10">
    <mergeCell ref="E13:F13"/>
    <mergeCell ref="E14:F14"/>
    <mergeCell ref="B17:I17"/>
    <mergeCell ref="B80:I80"/>
    <mergeCell ref="B1:I1"/>
    <mergeCell ref="B2:I2"/>
    <mergeCell ref="E9:F9"/>
    <mergeCell ref="E10:F10"/>
    <mergeCell ref="E11:F11"/>
    <mergeCell ref="E12:F12"/>
  </mergeCells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1E36-9096-45F0-8E51-8FA74FA987AD}">
  <dimension ref="A1:L130"/>
  <sheetViews>
    <sheetView topLeftCell="A91" zoomScale="63" zoomScaleNormal="55" workbookViewId="0">
      <selection activeCell="C37" sqref="C37"/>
    </sheetView>
  </sheetViews>
  <sheetFormatPr baseColWidth="10" defaultColWidth="11.5" defaultRowHeight="16" x14ac:dyDescent="0.2"/>
  <cols>
    <col min="1" max="1" width="9.1640625" style="45" customWidth="1"/>
    <col min="2" max="2" width="48.33203125" bestFit="1" customWidth="1"/>
    <col min="3" max="3" width="73.5" style="44" customWidth="1"/>
    <col min="4" max="4" width="17.83203125" customWidth="1"/>
    <col min="5" max="5" width="15.1640625" customWidth="1"/>
    <col min="6" max="6" width="17.83203125" customWidth="1"/>
    <col min="7" max="7" width="17.33203125" customWidth="1"/>
    <col min="8" max="8" width="16.5" customWidth="1"/>
    <col min="9" max="9" width="26.6640625" customWidth="1"/>
    <col min="10" max="10" width="61.5" style="154" customWidth="1"/>
    <col min="11" max="11" width="15.5" style="239" bestFit="1" customWidth="1"/>
    <col min="12" max="12" width="16.33203125" customWidth="1"/>
  </cols>
  <sheetData>
    <row r="1" spans="1:10" ht="21" x14ac:dyDescent="0.25">
      <c r="A1" s="82"/>
      <c r="B1" s="349" t="s">
        <v>132</v>
      </c>
      <c r="C1" s="349"/>
      <c r="D1" s="349"/>
      <c r="E1" s="349"/>
      <c r="F1" s="349"/>
      <c r="G1" s="349"/>
      <c r="H1" s="349"/>
      <c r="I1" s="349"/>
    </row>
    <row r="2" spans="1:10" ht="21" x14ac:dyDescent="0.25">
      <c r="B2" s="339" t="s">
        <v>50</v>
      </c>
      <c r="C2" s="339"/>
      <c r="D2" s="339"/>
      <c r="E2" s="339"/>
      <c r="F2" s="339"/>
      <c r="G2" s="339"/>
      <c r="H2" s="339"/>
      <c r="I2" s="339"/>
    </row>
    <row r="3" spans="1:10" ht="17" thickBot="1" x14ac:dyDescent="0.25">
      <c r="H3" t="s">
        <v>51</v>
      </c>
      <c r="I3" s="256">
        <f ca="1">TODAY()</f>
        <v>45693</v>
      </c>
    </row>
    <row r="4" spans="1:10" x14ac:dyDescent="0.2">
      <c r="B4" s="80"/>
      <c r="C4" s="72"/>
      <c r="D4" s="73"/>
      <c r="E4" s="73"/>
      <c r="F4" s="73"/>
      <c r="G4" s="73"/>
      <c r="H4" s="73"/>
      <c r="I4" s="258"/>
      <c r="J4" s="257" t="s">
        <v>133</v>
      </c>
    </row>
    <row r="5" spans="1:10" x14ac:dyDescent="0.2">
      <c r="B5" s="259" t="s">
        <v>52</v>
      </c>
      <c r="C5" s="81"/>
      <c r="D5" s="81"/>
      <c r="E5" s="81"/>
      <c r="F5" s="81"/>
      <c r="G5" s="81"/>
      <c r="H5" s="81"/>
      <c r="I5" s="260"/>
    </row>
    <row r="6" spans="1:10" x14ac:dyDescent="0.2">
      <c r="B6" s="74"/>
      <c r="C6" s="44" t="s">
        <v>53</v>
      </c>
      <c r="E6" s="75" t="s">
        <v>54</v>
      </c>
      <c r="I6" s="59"/>
    </row>
    <row r="7" spans="1:10" x14ac:dyDescent="0.2">
      <c r="B7" s="57" t="s">
        <v>134</v>
      </c>
      <c r="C7" s="83">
        <v>41194</v>
      </c>
      <c r="E7" s="75"/>
      <c r="I7" s="59"/>
    </row>
    <row r="8" spans="1:10" x14ac:dyDescent="0.2">
      <c r="B8" s="84" t="s">
        <v>135</v>
      </c>
      <c r="C8" s="82">
        <f>4100+13500+5700</f>
        <v>23300</v>
      </c>
      <c r="G8" s="71" t="s">
        <v>136</v>
      </c>
      <c r="H8" s="71" t="s">
        <v>57</v>
      </c>
      <c r="I8" s="59"/>
    </row>
    <row r="9" spans="1:10" x14ac:dyDescent="0.2">
      <c r="B9" s="57" t="s">
        <v>56</v>
      </c>
      <c r="C9" s="82">
        <v>6017</v>
      </c>
      <c r="E9" s="340" t="s">
        <v>137</v>
      </c>
      <c r="F9" s="341"/>
      <c r="G9" s="71">
        <v>7</v>
      </c>
      <c r="H9" s="82">
        <f>Surfaces!B12</f>
        <v>1791</v>
      </c>
      <c r="I9" s="59"/>
    </row>
    <row r="10" spans="1:10" x14ac:dyDescent="0.2">
      <c r="B10" s="262" t="s">
        <v>59</v>
      </c>
      <c r="C10" s="82"/>
      <c r="E10" s="340" t="s">
        <v>138</v>
      </c>
      <c r="F10" s="341"/>
      <c r="G10" s="71">
        <v>10</v>
      </c>
      <c r="H10" s="82">
        <f>Surfaces!C12</f>
        <v>1148</v>
      </c>
      <c r="I10" s="59"/>
    </row>
    <row r="11" spans="1:10" ht="17" thickBot="1" x14ac:dyDescent="0.25">
      <c r="B11" s="262" t="s">
        <v>60</v>
      </c>
      <c r="C11" s="82"/>
      <c r="E11" s="342" t="s">
        <v>61</v>
      </c>
      <c r="F11" s="343"/>
      <c r="G11" s="278">
        <v>66</v>
      </c>
      <c r="H11" s="279">
        <f>Surfaces!D12</f>
        <v>25881</v>
      </c>
      <c r="I11" s="59"/>
    </row>
    <row r="12" spans="1:10" x14ac:dyDescent="0.2">
      <c r="B12" s="57" t="s">
        <v>62</v>
      </c>
      <c r="C12" s="82">
        <v>6356</v>
      </c>
      <c r="E12" s="344" t="s">
        <v>139</v>
      </c>
      <c r="F12" s="345"/>
      <c r="G12" s="280">
        <f>ROUND(20%*SUM(G9:G11),0)</f>
        <v>17</v>
      </c>
      <c r="H12" s="281">
        <f>250*G12</f>
        <v>4250</v>
      </c>
      <c r="I12" s="59"/>
    </row>
    <row r="13" spans="1:10" ht="15.5" customHeight="1" x14ac:dyDescent="0.2">
      <c r="B13" s="57" t="s">
        <v>63</v>
      </c>
      <c r="C13" s="82">
        <v>28820</v>
      </c>
      <c r="E13" s="327" t="s">
        <v>140</v>
      </c>
      <c r="F13" s="328"/>
      <c r="G13" s="277">
        <f>SUM(G9:G11)-G12</f>
        <v>66</v>
      </c>
      <c r="H13" s="82">
        <f>C8-H12</f>
        <v>19050</v>
      </c>
      <c r="I13" s="59"/>
    </row>
    <row r="14" spans="1:10" ht="15.5" customHeight="1" x14ac:dyDescent="0.2">
      <c r="B14" s="57" t="s">
        <v>64</v>
      </c>
      <c r="C14" s="82"/>
      <c r="E14" s="329" t="s">
        <v>141</v>
      </c>
      <c r="F14" s="330"/>
      <c r="G14" s="276"/>
      <c r="H14" s="82"/>
      <c r="I14" s="59"/>
    </row>
    <row r="15" spans="1:10" ht="17" thickBot="1" x14ac:dyDescent="0.25">
      <c r="B15" s="76"/>
      <c r="C15" s="77"/>
      <c r="D15" s="78"/>
      <c r="E15" s="78"/>
      <c r="F15" s="78"/>
      <c r="G15" s="78"/>
      <c r="H15" s="78"/>
      <c r="I15" s="79"/>
    </row>
    <row r="17" spans="1:11" ht="17" thickBot="1" x14ac:dyDescent="0.25">
      <c r="B17" s="350" t="s">
        <v>65</v>
      </c>
      <c r="C17" s="335"/>
      <c r="D17" s="335"/>
      <c r="E17" s="335"/>
      <c r="F17" s="335"/>
      <c r="G17" s="335"/>
      <c r="H17" s="335"/>
      <c r="I17" s="351"/>
    </row>
    <row r="18" spans="1:11" x14ac:dyDescent="0.2">
      <c r="C18" s="67" t="s">
        <v>66</v>
      </c>
      <c r="D18" s="68" t="s">
        <v>67</v>
      </c>
      <c r="E18" s="69" t="s">
        <v>68</v>
      </c>
      <c r="F18" s="70" t="s">
        <v>69</v>
      </c>
      <c r="G18" s="54" t="s">
        <v>70</v>
      </c>
      <c r="H18" s="55" t="s">
        <v>71</v>
      </c>
      <c r="I18" s="58" t="s">
        <v>72</v>
      </c>
    </row>
    <row r="19" spans="1:11" x14ac:dyDescent="0.2">
      <c r="A19" s="45" t="s">
        <v>73</v>
      </c>
      <c r="B19" s="48" t="s">
        <v>74</v>
      </c>
      <c r="C19" s="132"/>
      <c r="D19" s="56"/>
      <c r="E19" s="53"/>
      <c r="F19" s="155"/>
      <c r="G19" s="85"/>
      <c r="H19" s="86"/>
      <c r="I19" s="242"/>
      <c r="J19" s="346" t="s">
        <v>142</v>
      </c>
      <c r="K19" s="252"/>
    </row>
    <row r="20" spans="1:11" x14ac:dyDescent="0.2">
      <c r="B20" s="18" t="s">
        <v>143</v>
      </c>
      <c r="C20" s="131" t="s">
        <v>75</v>
      </c>
      <c r="D20" s="264">
        <f>+G46</f>
        <v>1597750</v>
      </c>
      <c r="E20" s="265">
        <v>0.08</v>
      </c>
      <c r="F20" s="237">
        <v>0.2</v>
      </c>
      <c r="G20" s="87">
        <f>+E20*D20</f>
        <v>127820</v>
      </c>
      <c r="H20" s="88">
        <f>F20*G20</f>
        <v>25564</v>
      </c>
      <c r="I20" s="243">
        <f t="shared" ref="I20" si="0">G20+H20</f>
        <v>153384</v>
      </c>
      <c r="J20" s="347"/>
      <c r="K20" s="252"/>
    </row>
    <row r="21" spans="1:11" x14ac:dyDescent="0.2">
      <c r="B21" s="18" t="s">
        <v>144</v>
      </c>
      <c r="C21" s="131" t="s">
        <v>145</v>
      </c>
      <c r="D21" s="284">
        <v>75000</v>
      </c>
      <c r="E21" s="265">
        <v>1</v>
      </c>
      <c r="F21" s="237">
        <v>0.2</v>
      </c>
      <c r="G21" s="87">
        <f>+E21*D21</f>
        <v>75000</v>
      </c>
      <c r="H21" s="88">
        <f>F21*G21</f>
        <v>15000</v>
      </c>
      <c r="I21" s="243">
        <f t="shared" ref="I21" si="1">G21+H21</f>
        <v>90000</v>
      </c>
      <c r="J21" s="347"/>
      <c r="K21" s="252"/>
    </row>
    <row r="22" spans="1:11" x14ac:dyDescent="0.2">
      <c r="B22" s="18" t="s">
        <v>146</v>
      </c>
      <c r="C22" s="131" t="s">
        <v>147</v>
      </c>
      <c r="D22" s="288">
        <f>C8</f>
        <v>23300</v>
      </c>
      <c r="E22" s="285">
        <v>5</v>
      </c>
      <c r="F22" s="237">
        <v>0.2</v>
      </c>
      <c r="G22" s="87">
        <f t="shared" ref="G22:G24" si="2">+E22*D22</f>
        <v>116500</v>
      </c>
      <c r="H22" s="88">
        <f t="shared" ref="H22:H24" si="3">F22*G22</f>
        <v>23300</v>
      </c>
      <c r="I22" s="243">
        <f t="shared" ref="I22:I24" si="4">G22+H22</f>
        <v>139800</v>
      </c>
      <c r="J22" s="347"/>
      <c r="K22" s="252"/>
    </row>
    <row r="23" spans="1:11" x14ac:dyDescent="0.2">
      <c r="B23" s="18" t="s">
        <v>148</v>
      </c>
      <c r="C23" s="131" t="s">
        <v>149</v>
      </c>
      <c r="D23" s="264">
        <f>G127</f>
        <v>4000000</v>
      </c>
      <c r="E23" s="265">
        <v>0</v>
      </c>
      <c r="F23" s="237">
        <v>0.2</v>
      </c>
      <c r="G23" s="87">
        <f t="shared" si="2"/>
        <v>0</v>
      </c>
      <c r="H23" s="88">
        <f t="shared" si="3"/>
        <v>0</v>
      </c>
      <c r="I23" s="243">
        <f t="shared" si="4"/>
        <v>0</v>
      </c>
      <c r="J23" s="347"/>
      <c r="K23" s="252"/>
    </row>
    <row r="24" spans="1:11" x14ac:dyDescent="0.2">
      <c r="B24" s="18" t="s">
        <v>150</v>
      </c>
      <c r="C24" s="131" t="s">
        <v>151</v>
      </c>
      <c r="D24" s="264">
        <f>+D23</f>
        <v>4000000</v>
      </c>
      <c r="E24" s="265">
        <v>0.05</v>
      </c>
      <c r="F24" s="237">
        <v>0.2</v>
      </c>
      <c r="G24" s="87">
        <f t="shared" si="2"/>
        <v>200000</v>
      </c>
      <c r="H24" s="88">
        <f t="shared" si="3"/>
        <v>40000</v>
      </c>
      <c r="I24" s="243">
        <f t="shared" si="4"/>
        <v>240000</v>
      </c>
      <c r="J24" s="347"/>
      <c r="K24" s="252"/>
    </row>
    <row r="25" spans="1:11" x14ac:dyDescent="0.2">
      <c r="B25" s="49" t="s">
        <v>76</v>
      </c>
      <c r="C25" s="133"/>
      <c r="D25" s="159"/>
      <c r="E25" s="160"/>
      <c r="F25" s="161"/>
      <c r="G25" s="89">
        <f>SUM(G20:G24)</f>
        <v>519320</v>
      </c>
      <c r="H25" s="90">
        <f>SUM(H20:H22)</f>
        <v>63864</v>
      </c>
      <c r="I25" s="244">
        <f>SUM(I20:I24)</f>
        <v>623184</v>
      </c>
      <c r="J25" s="348"/>
      <c r="K25" s="253">
        <f>G25/$G$92</f>
        <v>0.10165649565030994</v>
      </c>
    </row>
    <row r="26" spans="1:11" ht="7.5" customHeight="1" x14ac:dyDescent="0.2">
      <c r="B26" s="52"/>
      <c r="C26" s="131"/>
      <c r="D26" s="156"/>
      <c r="E26" s="157"/>
      <c r="F26" s="162"/>
      <c r="G26" s="91"/>
      <c r="H26" s="92"/>
      <c r="I26" s="245"/>
      <c r="J26" s="255"/>
      <c r="K26" s="252"/>
    </row>
    <row r="27" spans="1:11" x14ac:dyDescent="0.2">
      <c r="A27" s="45" t="s">
        <v>77</v>
      </c>
      <c r="B27" s="48" t="s">
        <v>78</v>
      </c>
      <c r="C27" s="132"/>
      <c r="D27" s="163"/>
      <c r="E27" s="164"/>
      <c r="F27" s="165"/>
      <c r="G27" s="85"/>
      <c r="H27" s="86"/>
      <c r="I27" s="242"/>
      <c r="J27" s="255"/>
      <c r="K27" s="252"/>
    </row>
    <row r="28" spans="1:11" x14ac:dyDescent="0.2">
      <c r="A28" s="45" t="s">
        <v>152</v>
      </c>
      <c r="B28" s="51" t="s">
        <v>153</v>
      </c>
      <c r="C28" s="134"/>
      <c r="D28" s="166"/>
      <c r="E28" s="167"/>
      <c r="F28" s="168"/>
      <c r="G28" s="93"/>
      <c r="H28" s="94"/>
      <c r="I28" s="246"/>
      <c r="J28" s="255"/>
      <c r="K28" s="252"/>
    </row>
    <row r="29" spans="1:11" x14ac:dyDescent="0.2">
      <c r="B29" s="18" t="s">
        <v>154</v>
      </c>
      <c r="C29" s="131" t="s">
        <v>155</v>
      </c>
      <c r="D29" s="236">
        <v>0</v>
      </c>
      <c r="E29" s="171">
        <v>5000</v>
      </c>
      <c r="F29" s="158">
        <v>0.2</v>
      </c>
      <c r="G29" s="87"/>
      <c r="H29" s="88"/>
      <c r="I29" s="243">
        <f t="shared" ref="I29" si="5">G29+H29</f>
        <v>0</v>
      </c>
      <c r="J29" s="255"/>
      <c r="K29" s="252"/>
    </row>
    <row r="30" spans="1:11" x14ac:dyDescent="0.2">
      <c r="B30" s="50" t="s">
        <v>156</v>
      </c>
      <c r="C30" s="135"/>
      <c r="D30" s="172"/>
      <c r="E30" s="173"/>
      <c r="F30" s="174"/>
      <c r="G30" s="146">
        <f>SUM(G29:G29)</f>
        <v>0</v>
      </c>
      <c r="H30" s="147">
        <f>SUM(H29:H29)</f>
        <v>0</v>
      </c>
      <c r="I30" s="248">
        <f>SUM(I29:I29)</f>
        <v>0</v>
      </c>
      <c r="J30" s="255"/>
      <c r="K30" s="252"/>
    </row>
    <row r="31" spans="1:11" x14ac:dyDescent="0.2">
      <c r="A31" s="45" t="s">
        <v>79</v>
      </c>
      <c r="B31" s="51" t="s">
        <v>15</v>
      </c>
      <c r="C31" s="134"/>
      <c r="D31" s="166"/>
      <c r="E31" s="167"/>
      <c r="F31" s="168"/>
      <c r="G31" s="93"/>
      <c r="H31" s="94"/>
      <c r="I31" s="246"/>
      <c r="J31" s="255"/>
      <c r="K31" s="252"/>
    </row>
    <row r="32" spans="1:11" x14ac:dyDescent="0.2">
      <c r="B32" s="143" t="s">
        <v>157</v>
      </c>
      <c r="C32" s="131"/>
      <c r="D32" s="156"/>
      <c r="E32" s="157"/>
      <c r="F32" s="158"/>
      <c r="G32" s="152">
        <f>+SUM(G33:G34)</f>
        <v>0</v>
      </c>
      <c r="H32" s="88">
        <f>G32*F32</f>
        <v>0</v>
      </c>
      <c r="I32" s="243">
        <f t="shared" ref="I32:I34" si="6">G32+H32</f>
        <v>0</v>
      </c>
      <c r="J32" s="255"/>
      <c r="K32" s="252"/>
    </row>
    <row r="33" spans="1:11" x14ac:dyDescent="0.2">
      <c r="B33" s="148" t="s">
        <v>158</v>
      </c>
      <c r="C33" s="131"/>
      <c r="D33" s="156"/>
      <c r="E33" s="157"/>
      <c r="F33" s="158">
        <v>0.2</v>
      </c>
      <c r="G33" s="150">
        <f t="shared" ref="G33:G34" si="7">E33*D33</f>
        <v>0</v>
      </c>
      <c r="H33" s="151">
        <f t="shared" ref="H33:H34" si="8">F33*G33</f>
        <v>0</v>
      </c>
      <c r="I33" s="250">
        <f t="shared" si="6"/>
        <v>0</v>
      </c>
      <c r="J33" s="255"/>
      <c r="K33" s="252"/>
    </row>
    <row r="34" spans="1:11" x14ac:dyDescent="0.2">
      <c r="B34" s="148" t="s">
        <v>159</v>
      </c>
      <c r="C34" s="131"/>
      <c r="D34" s="156"/>
      <c r="E34" s="157"/>
      <c r="F34" s="158">
        <v>0</v>
      </c>
      <c r="G34" s="150">
        <f t="shared" si="7"/>
        <v>0</v>
      </c>
      <c r="H34" s="151">
        <f t="shared" si="8"/>
        <v>0</v>
      </c>
      <c r="I34" s="250">
        <f t="shared" si="6"/>
        <v>0</v>
      </c>
      <c r="J34" s="255"/>
      <c r="K34" s="252"/>
    </row>
    <row r="35" spans="1:11" x14ac:dyDescent="0.2">
      <c r="B35" s="143" t="s">
        <v>160</v>
      </c>
      <c r="C35" s="131"/>
      <c r="D35" s="184"/>
      <c r="E35" s="157"/>
      <c r="F35" s="158"/>
      <c r="G35" s="152">
        <f>+SUM(G36:G37)</f>
        <v>1452500</v>
      </c>
      <c r="H35" s="153">
        <f t="shared" ref="H35:I35" si="9">SUM(H36:H37)</f>
        <v>0</v>
      </c>
      <c r="I35" s="249">
        <f t="shared" si="9"/>
        <v>1452500</v>
      </c>
      <c r="J35" s="255"/>
      <c r="K35" s="252"/>
    </row>
    <row r="36" spans="1:11" x14ac:dyDescent="0.2">
      <c r="B36" s="148" t="s">
        <v>161</v>
      </c>
      <c r="C36" s="149"/>
      <c r="D36" s="289">
        <v>41500</v>
      </c>
      <c r="E36" s="176">
        <v>35</v>
      </c>
      <c r="F36" s="177">
        <v>0</v>
      </c>
      <c r="G36" s="150">
        <f>E36*D36</f>
        <v>1452500</v>
      </c>
      <c r="H36" s="151">
        <f>F36*G36</f>
        <v>0</v>
      </c>
      <c r="I36" s="250">
        <f>G36+H36</f>
        <v>1452500</v>
      </c>
      <c r="J36" s="255"/>
      <c r="K36" s="252"/>
    </row>
    <row r="37" spans="1:11" x14ac:dyDescent="0.2">
      <c r="B37" s="148"/>
      <c r="C37" s="149"/>
      <c r="D37" s="175"/>
      <c r="E37" s="176"/>
      <c r="F37" s="261">
        <v>0.2</v>
      </c>
      <c r="G37" s="150"/>
      <c r="H37" s="151">
        <f>F37*G37</f>
        <v>0</v>
      </c>
      <c r="I37" s="250">
        <f>G37+H37</f>
        <v>0</v>
      </c>
      <c r="J37" s="274"/>
      <c r="K37" s="252"/>
    </row>
    <row r="38" spans="1:11" hidden="1" x14ac:dyDescent="0.2">
      <c r="B38" s="18"/>
      <c r="C38" s="131"/>
      <c r="D38" s="169"/>
      <c r="E38" s="170"/>
      <c r="F38" s="158"/>
      <c r="G38" s="87"/>
      <c r="H38" s="88"/>
      <c r="I38" s="243"/>
      <c r="J38" s="255"/>
      <c r="K38" s="252"/>
    </row>
    <row r="39" spans="1:11" hidden="1" x14ac:dyDescent="0.2">
      <c r="B39" s="18"/>
      <c r="C39" s="131"/>
      <c r="D39" s="169"/>
      <c r="E39" s="170"/>
      <c r="F39" s="158"/>
      <c r="G39" s="87"/>
      <c r="H39" s="88"/>
      <c r="I39" s="243"/>
      <c r="J39" s="255"/>
      <c r="K39" s="252"/>
    </row>
    <row r="40" spans="1:11" x14ac:dyDescent="0.2">
      <c r="B40" s="50" t="s">
        <v>162</v>
      </c>
      <c r="C40" s="135"/>
      <c r="D40" s="172"/>
      <c r="E40" s="173"/>
      <c r="F40" s="174"/>
      <c r="G40" s="146">
        <f>G32+G35+G38+G39</f>
        <v>1452500</v>
      </c>
      <c r="H40" s="147">
        <f t="shared" ref="H40:I40" si="10">H32+H35+H38+H39</f>
        <v>0</v>
      </c>
      <c r="I40" s="248">
        <f t="shared" si="10"/>
        <v>1452500</v>
      </c>
      <c r="J40" s="255"/>
      <c r="K40" s="252"/>
    </row>
    <row r="41" spans="1:11" x14ac:dyDescent="0.2">
      <c r="A41" s="45" t="s">
        <v>163</v>
      </c>
      <c r="B41" s="51" t="s">
        <v>164</v>
      </c>
      <c r="C41" s="134"/>
      <c r="D41" s="166"/>
      <c r="E41" s="167"/>
      <c r="F41" s="168"/>
      <c r="G41" s="93"/>
      <c r="H41" s="94"/>
      <c r="I41" s="246"/>
      <c r="J41" s="255"/>
      <c r="K41" s="252"/>
    </row>
    <row r="42" spans="1:11" ht="15.75" customHeight="1" x14ac:dyDescent="0.2">
      <c r="B42" s="18" t="s">
        <v>165</v>
      </c>
      <c r="C42" s="131" t="s">
        <v>166</v>
      </c>
      <c r="D42" s="169">
        <f>G40</f>
        <v>1452500</v>
      </c>
      <c r="E42" s="178">
        <v>0.1</v>
      </c>
      <c r="F42" s="158">
        <v>0</v>
      </c>
      <c r="G42" s="87">
        <f>E42*(I40+I30)</f>
        <v>145250</v>
      </c>
      <c r="H42" s="88">
        <f>F42*G42</f>
        <v>0</v>
      </c>
      <c r="I42" s="243">
        <f>G42+H42</f>
        <v>145250</v>
      </c>
      <c r="J42" s="255" t="s">
        <v>167</v>
      </c>
      <c r="K42" s="252"/>
    </row>
    <row r="43" spans="1:11" hidden="1" x14ac:dyDescent="0.2">
      <c r="B43" s="263" t="s">
        <v>168</v>
      </c>
      <c r="C43" s="142" t="s">
        <v>169</v>
      </c>
      <c r="D43" s="264"/>
      <c r="E43" s="265">
        <v>0.01</v>
      </c>
      <c r="F43" s="237"/>
      <c r="G43" s="145">
        <f>E43*D43</f>
        <v>0</v>
      </c>
      <c r="H43" s="238">
        <f t="shared" ref="H43:H44" si="11">F43*G43</f>
        <v>0</v>
      </c>
      <c r="I43" s="247">
        <f t="shared" ref="I43:I44" si="12">G43+H43</f>
        <v>0</v>
      </c>
      <c r="J43" s="255"/>
      <c r="K43" s="252"/>
    </row>
    <row r="44" spans="1:11" x14ac:dyDescent="0.2">
      <c r="B44" s="18" t="s">
        <v>170</v>
      </c>
      <c r="C44" s="131" t="s">
        <v>166</v>
      </c>
      <c r="D44" s="169">
        <f>G40</f>
        <v>1452500</v>
      </c>
      <c r="E44" s="178">
        <v>0</v>
      </c>
      <c r="F44" s="158">
        <v>0.2</v>
      </c>
      <c r="G44" s="87">
        <f>E44*D44</f>
        <v>0</v>
      </c>
      <c r="H44" s="88">
        <f t="shared" si="11"/>
        <v>0</v>
      </c>
      <c r="I44" s="243">
        <f t="shared" si="12"/>
        <v>0</v>
      </c>
      <c r="J44" s="255"/>
      <c r="K44" s="252"/>
    </row>
    <row r="45" spans="1:11" x14ac:dyDescent="0.2">
      <c r="B45" s="50" t="s">
        <v>171</v>
      </c>
      <c r="C45" s="135"/>
      <c r="D45" s="172"/>
      <c r="E45" s="173"/>
      <c r="F45" s="174"/>
      <c r="G45" s="146">
        <f>SUM(G42:G44)</f>
        <v>145250</v>
      </c>
      <c r="H45" s="147">
        <f t="shared" ref="H45:I45" si="13">SUM(H42:H44)</f>
        <v>0</v>
      </c>
      <c r="I45" s="248">
        <f t="shared" si="13"/>
        <v>145250</v>
      </c>
      <c r="J45" s="255"/>
      <c r="K45" s="252"/>
    </row>
    <row r="46" spans="1:11" x14ac:dyDescent="0.2">
      <c r="B46" s="49" t="s">
        <v>83</v>
      </c>
      <c r="C46" s="133"/>
      <c r="D46" s="159"/>
      <c r="E46" s="160"/>
      <c r="F46" s="161"/>
      <c r="G46" s="95">
        <f>G30+G40+G45</f>
        <v>1597750</v>
      </c>
      <c r="H46" s="96">
        <f>H30+H40+H45</f>
        <v>0</v>
      </c>
      <c r="I46" s="251">
        <f>I30+I40+I45</f>
        <v>1597750</v>
      </c>
      <c r="J46" s="255"/>
      <c r="K46" s="253">
        <f>G46/$G$92</f>
        <v>0.3127583492360832</v>
      </c>
    </row>
    <row r="47" spans="1:11" ht="8.25" customHeight="1" x14ac:dyDescent="0.2">
      <c r="B47" s="52"/>
      <c r="C47" s="131"/>
      <c r="D47" s="156"/>
      <c r="E47" s="157"/>
      <c r="F47" s="162"/>
      <c r="G47" s="91"/>
      <c r="H47" s="92"/>
      <c r="I47" s="245"/>
      <c r="J47" s="255"/>
      <c r="K47" s="252"/>
    </row>
    <row r="48" spans="1:11" x14ac:dyDescent="0.2">
      <c r="A48" s="45" t="s">
        <v>84</v>
      </c>
      <c r="B48" s="48" t="s">
        <v>85</v>
      </c>
      <c r="C48" s="132"/>
      <c r="D48" s="163"/>
      <c r="E48" s="164"/>
      <c r="F48" s="165"/>
      <c r="G48" s="85"/>
      <c r="H48" s="86"/>
      <c r="I48" s="242"/>
      <c r="J48" s="255"/>
      <c r="K48" s="252"/>
    </row>
    <row r="49" spans="1:11" x14ac:dyDescent="0.2">
      <c r="A49" s="45" t="s">
        <v>86</v>
      </c>
      <c r="B49" s="51" t="s">
        <v>87</v>
      </c>
      <c r="C49" s="136"/>
      <c r="D49" s="179"/>
      <c r="E49" s="180"/>
      <c r="F49" s="181"/>
      <c r="G49" s="97"/>
      <c r="H49" s="98"/>
      <c r="I49" s="98"/>
      <c r="J49" s="255"/>
      <c r="K49" s="252"/>
    </row>
    <row r="50" spans="1:11" x14ac:dyDescent="0.2">
      <c r="A50" s="45" t="s">
        <v>88</v>
      </c>
      <c r="B50" s="18" t="s">
        <v>89</v>
      </c>
      <c r="C50" s="131" t="s">
        <v>90</v>
      </c>
      <c r="D50" s="169"/>
      <c r="E50" s="170">
        <v>0.1</v>
      </c>
      <c r="F50" s="158">
        <v>0.2</v>
      </c>
      <c r="G50" s="87">
        <f>E50*D50</f>
        <v>0</v>
      </c>
      <c r="H50" s="88">
        <f>G50*F50</f>
        <v>0</v>
      </c>
      <c r="I50" s="243">
        <f>G50+H50</f>
        <v>0</v>
      </c>
      <c r="J50" s="255"/>
      <c r="K50" s="252"/>
    </row>
    <row r="51" spans="1:11" x14ac:dyDescent="0.2">
      <c r="B51" s="18" t="s">
        <v>91</v>
      </c>
      <c r="C51" s="131" t="s">
        <v>92</v>
      </c>
      <c r="D51" s="182"/>
      <c r="E51" s="183">
        <v>450</v>
      </c>
      <c r="F51" s="158">
        <v>0.2</v>
      </c>
      <c r="G51" s="87">
        <f t="shared" ref="G51:G52" si="14">E51*D51</f>
        <v>0</v>
      </c>
      <c r="H51" s="88">
        <f>G51*F51</f>
        <v>0</v>
      </c>
      <c r="I51" s="243">
        <f t="shared" ref="I51" si="15">G51+H51</f>
        <v>0</v>
      </c>
      <c r="J51" s="255"/>
      <c r="K51" s="252"/>
    </row>
    <row r="52" spans="1:11" x14ac:dyDescent="0.2">
      <c r="B52" s="18" t="s">
        <v>24</v>
      </c>
      <c r="C52" s="131" t="s">
        <v>93</v>
      </c>
      <c r="D52" s="184"/>
      <c r="E52" s="183">
        <v>35</v>
      </c>
      <c r="F52" s="158">
        <v>0.2</v>
      </c>
      <c r="G52" s="87">
        <f t="shared" si="14"/>
        <v>0</v>
      </c>
      <c r="H52" s="88">
        <f t="shared" ref="H52:H53" si="16">G52*F52</f>
        <v>0</v>
      </c>
      <c r="I52" s="243">
        <f>G52+H52</f>
        <v>0</v>
      </c>
      <c r="J52" s="255"/>
      <c r="K52" s="252"/>
    </row>
    <row r="53" spans="1:11" x14ac:dyDescent="0.2">
      <c r="B53" s="18" t="s">
        <v>94</v>
      </c>
      <c r="C53" s="131" t="s">
        <v>95</v>
      </c>
      <c r="D53" s="169"/>
      <c r="E53" s="170">
        <v>0.05</v>
      </c>
      <c r="F53" s="158">
        <v>0.2</v>
      </c>
      <c r="G53" s="87">
        <f>E53*D53</f>
        <v>0</v>
      </c>
      <c r="H53" s="88">
        <f t="shared" si="16"/>
        <v>0</v>
      </c>
      <c r="I53" s="243">
        <f>G53+H53</f>
        <v>0</v>
      </c>
      <c r="J53" s="255"/>
      <c r="K53" s="252"/>
    </row>
    <row r="54" spans="1:11" x14ac:dyDescent="0.2">
      <c r="B54" s="50" t="s">
        <v>96</v>
      </c>
      <c r="C54" s="137"/>
      <c r="D54" s="185"/>
      <c r="E54" s="186"/>
      <c r="F54" s="187"/>
      <c r="G54" s="100">
        <f>SUM(G50:G53)</f>
        <v>0</v>
      </c>
      <c r="H54" s="101">
        <f>SUM(H50:H53)</f>
        <v>0</v>
      </c>
      <c r="I54" s="101">
        <f>SUM(I50:I53)</f>
        <v>0</v>
      </c>
      <c r="J54" s="255"/>
      <c r="K54" s="252"/>
    </row>
    <row r="55" spans="1:11" x14ac:dyDescent="0.2">
      <c r="A55" s="45" t="s">
        <v>97</v>
      </c>
      <c r="B55" s="51" t="s">
        <v>172</v>
      </c>
      <c r="C55" s="136"/>
      <c r="D55" s="179"/>
      <c r="E55" s="180"/>
      <c r="F55" s="181"/>
      <c r="G55" s="97"/>
      <c r="H55" s="98"/>
      <c r="I55" s="98"/>
      <c r="J55" s="255"/>
      <c r="K55" s="252"/>
    </row>
    <row r="56" spans="1:11" x14ac:dyDescent="0.2">
      <c r="B56" s="18" t="s">
        <v>173</v>
      </c>
      <c r="C56" s="131"/>
      <c r="D56" s="156">
        <f>SUM(G9:G11)</f>
        <v>83</v>
      </c>
      <c r="E56" s="282">
        <v>20000</v>
      </c>
      <c r="F56" s="158">
        <v>0</v>
      </c>
      <c r="G56" s="87">
        <f>E56*D56</f>
        <v>1660000</v>
      </c>
      <c r="H56" s="88">
        <f t="shared" ref="H56:H57" si="17">F56*G56</f>
        <v>0</v>
      </c>
      <c r="I56" s="243">
        <f>G56+H56</f>
        <v>1660000</v>
      </c>
      <c r="J56" s="255"/>
      <c r="K56" s="252"/>
    </row>
    <row r="57" spans="1:11" x14ac:dyDescent="0.2">
      <c r="B57" s="18" t="s">
        <v>94</v>
      </c>
      <c r="C57" s="131" t="s">
        <v>174</v>
      </c>
      <c r="D57" s="188">
        <f>+G56</f>
        <v>1660000</v>
      </c>
      <c r="E57" s="189">
        <v>0.1</v>
      </c>
      <c r="F57" s="158">
        <v>0.2</v>
      </c>
      <c r="G57" s="103">
        <f>E57*D57</f>
        <v>166000</v>
      </c>
      <c r="H57" s="88">
        <f t="shared" si="17"/>
        <v>33200</v>
      </c>
      <c r="I57" s="243">
        <f>G57+H57</f>
        <v>199200</v>
      </c>
      <c r="J57" s="255"/>
      <c r="K57" s="252"/>
    </row>
    <row r="58" spans="1:11" x14ac:dyDescent="0.2">
      <c r="B58" s="50" t="s">
        <v>175</v>
      </c>
      <c r="C58" s="137"/>
      <c r="D58" s="185"/>
      <c r="E58" s="186"/>
      <c r="F58" s="187"/>
      <c r="G58" s="100">
        <f>SUM(G56:G57)</f>
        <v>1826000</v>
      </c>
      <c r="H58" s="101">
        <f>SUM(H56:H57)</f>
        <v>33200</v>
      </c>
      <c r="I58" s="101">
        <f>SUM(I56:I57)</f>
        <v>1859200</v>
      </c>
      <c r="J58" s="255"/>
      <c r="K58" s="252"/>
    </row>
    <row r="59" spans="1:11" hidden="1" x14ac:dyDescent="0.2">
      <c r="A59" s="45" t="s">
        <v>176</v>
      </c>
      <c r="B59" s="51" t="s">
        <v>177</v>
      </c>
      <c r="C59" s="136"/>
      <c r="D59" s="179"/>
      <c r="E59" s="180"/>
      <c r="F59" s="181"/>
      <c r="G59" s="97"/>
      <c r="H59" s="98"/>
      <c r="I59" s="98"/>
      <c r="J59" s="255"/>
      <c r="K59" s="252"/>
    </row>
    <row r="60" spans="1:11" hidden="1" x14ac:dyDescent="0.2">
      <c r="B60" s="18" t="s">
        <v>178</v>
      </c>
      <c r="C60" s="131" t="s">
        <v>179</v>
      </c>
      <c r="D60" s="156"/>
      <c r="E60" s="157"/>
      <c r="F60" s="158">
        <v>0.2</v>
      </c>
      <c r="G60" s="87"/>
      <c r="H60" s="88">
        <f>G60*F60</f>
        <v>0</v>
      </c>
      <c r="I60" s="243">
        <f>G60+H60</f>
        <v>0</v>
      </c>
      <c r="J60" s="255"/>
      <c r="K60" s="252"/>
    </row>
    <row r="61" spans="1:11" x14ac:dyDescent="0.2">
      <c r="B61" s="49" t="s">
        <v>101</v>
      </c>
      <c r="C61" s="138"/>
      <c r="D61" s="190"/>
      <c r="E61" s="191"/>
      <c r="F61" s="192"/>
      <c r="G61" s="104">
        <f>G54+G58+G60</f>
        <v>1826000</v>
      </c>
      <c r="H61" s="105">
        <f>H54+H58</f>
        <v>33200</v>
      </c>
      <c r="I61" s="105">
        <f>I54+I58</f>
        <v>1859200</v>
      </c>
      <c r="J61" s="255"/>
      <c r="K61" s="253">
        <f>G61/$G$92</f>
        <v>0.35743811341266651</v>
      </c>
    </row>
    <row r="62" spans="1:11" ht="8.25" customHeight="1" x14ac:dyDescent="0.2">
      <c r="B62" s="52"/>
      <c r="C62" s="139"/>
      <c r="D62" s="193"/>
      <c r="E62" s="194"/>
      <c r="F62" s="195"/>
      <c r="G62" s="107"/>
      <c r="H62" s="108"/>
      <c r="I62" s="108"/>
      <c r="J62" s="255"/>
      <c r="K62" s="252"/>
    </row>
    <row r="63" spans="1:11" x14ac:dyDescent="0.2">
      <c r="A63" s="45" t="s">
        <v>102</v>
      </c>
      <c r="B63" s="48" t="s">
        <v>103</v>
      </c>
      <c r="C63" s="140"/>
      <c r="D63" s="196"/>
      <c r="E63" s="197"/>
      <c r="F63" s="198"/>
      <c r="G63" s="109"/>
      <c r="H63" s="110"/>
      <c r="I63" s="110"/>
      <c r="J63" s="255"/>
      <c r="K63" s="252"/>
    </row>
    <row r="64" spans="1:11" x14ac:dyDescent="0.2">
      <c r="B64" s="18" t="s">
        <v>180</v>
      </c>
      <c r="C64" s="131" t="s">
        <v>181</v>
      </c>
      <c r="D64" s="169"/>
      <c r="E64" s="170"/>
      <c r="F64" s="158">
        <v>0.2</v>
      </c>
      <c r="G64" s="87">
        <f>E64*D64</f>
        <v>0</v>
      </c>
      <c r="H64" s="199">
        <f>G64*F64</f>
        <v>0</v>
      </c>
      <c r="I64" s="243">
        <f>G64+H64</f>
        <v>0</v>
      </c>
      <c r="J64" s="274"/>
      <c r="K64" s="252"/>
    </row>
    <row r="65" spans="1:11" x14ac:dyDescent="0.2">
      <c r="B65" s="50" t="s">
        <v>182</v>
      </c>
      <c r="C65" s="137"/>
      <c r="D65" s="185"/>
      <c r="E65" s="186"/>
      <c r="F65" s="187"/>
      <c r="G65" s="100">
        <f>SUM(G64)</f>
        <v>0</v>
      </c>
      <c r="H65" s="101">
        <f t="shared" ref="H65" si="18">SUM(H64)</f>
        <v>0</v>
      </c>
      <c r="I65" s="101">
        <f>SUM(I64)</f>
        <v>0</v>
      </c>
      <c r="J65" s="255"/>
      <c r="K65" s="252"/>
    </row>
    <row r="66" spans="1:11" x14ac:dyDescent="0.2">
      <c r="B66" s="47" t="s">
        <v>104</v>
      </c>
      <c r="C66" s="131" t="s">
        <v>183</v>
      </c>
      <c r="D66" s="169">
        <f>$G$127</f>
        <v>4000000</v>
      </c>
      <c r="E66" s="170">
        <v>0.04</v>
      </c>
      <c r="F66" s="162">
        <v>0.05</v>
      </c>
      <c r="G66" s="87">
        <f>+D66*E66</f>
        <v>160000</v>
      </c>
      <c r="H66" s="88">
        <f>G66*F66</f>
        <v>8000</v>
      </c>
      <c r="I66" s="243">
        <f t="shared" ref="I66:I68" si="19">G66+H66</f>
        <v>168000</v>
      </c>
      <c r="J66" s="255" t="s">
        <v>184</v>
      </c>
      <c r="K66" s="252"/>
    </row>
    <row r="67" spans="1:11" x14ac:dyDescent="0.2">
      <c r="B67" s="18" t="s">
        <v>105</v>
      </c>
      <c r="C67" s="131" t="s">
        <v>183</v>
      </c>
      <c r="D67" s="169">
        <f t="shared" ref="D67:D70" si="20">$G$127</f>
        <v>4000000</v>
      </c>
      <c r="E67" s="170">
        <v>0.02</v>
      </c>
      <c r="F67" s="162">
        <v>0.2</v>
      </c>
      <c r="G67" s="87">
        <f>+D67*E67</f>
        <v>80000</v>
      </c>
      <c r="H67" s="88">
        <f>G67*F67</f>
        <v>16000</v>
      </c>
      <c r="I67" s="243">
        <f t="shared" ref="I67" si="21">G67+H67</f>
        <v>96000</v>
      </c>
      <c r="J67" s="255" t="s">
        <v>185</v>
      </c>
      <c r="K67" s="252"/>
    </row>
    <row r="68" spans="1:11" x14ac:dyDescent="0.2">
      <c r="B68" s="18" t="s">
        <v>186</v>
      </c>
      <c r="C68" s="131" t="s">
        <v>183</v>
      </c>
      <c r="D68" s="169">
        <f t="shared" si="20"/>
        <v>4000000</v>
      </c>
      <c r="E68" s="178">
        <v>1.4999999999999999E-2</v>
      </c>
      <c r="F68" s="162">
        <v>0.2</v>
      </c>
      <c r="G68" s="87">
        <f>D68*E68</f>
        <v>60000</v>
      </c>
      <c r="H68" s="88">
        <f t="shared" ref="H68" si="22">G68*F68</f>
        <v>12000</v>
      </c>
      <c r="I68" s="243">
        <f t="shared" si="19"/>
        <v>72000</v>
      </c>
      <c r="J68" s="255"/>
      <c r="K68" s="252"/>
    </row>
    <row r="69" spans="1:11" x14ac:dyDescent="0.2">
      <c r="B69" s="18" t="s">
        <v>106</v>
      </c>
      <c r="C69" s="131"/>
      <c r="D69" s="169">
        <f t="shared" si="20"/>
        <v>4000000</v>
      </c>
      <c r="E69" s="178">
        <v>5.0000000000000001E-3</v>
      </c>
      <c r="F69" s="162">
        <v>0.2</v>
      </c>
      <c r="G69" s="87">
        <f t="shared" ref="G69:G70" si="23">D69*E69</f>
        <v>20000</v>
      </c>
      <c r="H69" s="88">
        <f t="shared" ref="H69:H70" si="24">G69*F69</f>
        <v>4000</v>
      </c>
      <c r="I69" s="243">
        <f t="shared" ref="I69:I70" si="25">G69+H69</f>
        <v>24000</v>
      </c>
      <c r="J69" s="255"/>
      <c r="K69" s="252"/>
    </row>
    <row r="70" spans="1:11" x14ac:dyDescent="0.2">
      <c r="B70" s="18" t="s">
        <v>107</v>
      </c>
      <c r="C70" s="131"/>
      <c r="D70" s="169">
        <f t="shared" si="20"/>
        <v>4000000</v>
      </c>
      <c r="E70" s="178">
        <v>5.0000000000000001E-3</v>
      </c>
      <c r="F70" s="162">
        <v>0.2</v>
      </c>
      <c r="G70" s="87">
        <f t="shared" si="23"/>
        <v>20000</v>
      </c>
      <c r="H70" s="88">
        <f t="shared" si="24"/>
        <v>4000</v>
      </c>
      <c r="I70" s="243">
        <f t="shared" si="25"/>
        <v>24000</v>
      </c>
      <c r="J70" s="255"/>
      <c r="K70" s="252"/>
    </row>
    <row r="71" spans="1:11" x14ac:dyDescent="0.2">
      <c r="B71" s="50" t="s">
        <v>187</v>
      </c>
      <c r="C71" s="137"/>
      <c r="D71" s="185"/>
      <c r="E71" s="186"/>
      <c r="F71" s="187"/>
      <c r="G71" s="100">
        <f>SUM(G66:G70)</f>
        <v>340000</v>
      </c>
      <c r="H71" s="101">
        <f>SUM(H66:H70)</f>
        <v>44000</v>
      </c>
      <c r="I71" s="101">
        <f>SUM(I66:I70)</f>
        <v>384000</v>
      </c>
      <c r="J71" s="255"/>
      <c r="K71" s="252"/>
    </row>
    <row r="72" spans="1:11" x14ac:dyDescent="0.2">
      <c r="B72" s="18" t="s">
        <v>94</v>
      </c>
      <c r="C72" s="131" t="s">
        <v>188</v>
      </c>
      <c r="D72" s="169">
        <f>G65+G71</f>
        <v>340000</v>
      </c>
      <c r="E72" s="170">
        <v>0.05</v>
      </c>
      <c r="F72" s="158"/>
      <c r="G72" s="87">
        <f>D72*E72</f>
        <v>17000</v>
      </c>
      <c r="H72" s="88"/>
      <c r="I72" s="243">
        <f>G72+H72</f>
        <v>17000</v>
      </c>
      <c r="J72" s="255"/>
      <c r="K72" s="252"/>
    </row>
    <row r="73" spans="1:11" x14ac:dyDescent="0.2">
      <c r="B73" s="49" t="s">
        <v>108</v>
      </c>
      <c r="C73" s="138"/>
      <c r="D73" s="190"/>
      <c r="E73" s="191"/>
      <c r="F73" s="192"/>
      <c r="G73" s="104">
        <f>G65+G71+G72</f>
        <v>357000</v>
      </c>
      <c r="H73" s="105">
        <f>H65+H71+H72</f>
        <v>44000</v>
      </c>
      <c r="I73" s="105">
        <f>I65+I71+I72</f>
        <v>401000</v>
      </c>
      <c r="J73" s="255"/>
      <c r="K73" s="253">
        <f>G73/$G$92</f>
        <v>6.9882478909267215E-2</v>
      </c>
    </row>
    <row r="74" spans="1:11" ht="8.25" customHeight="1" x14ac:dyDescent="0.2">
      <c r="B74" s="52"/>
      <c r="C74" s="139"/>
      <c r="D74" s="193"/>
      <c r="E74" s="194"/>
      <c r="F74" s="195"/>
      <c r="G74" s="107"/>
      <c r="H74" s="108"/>
      <c r="I74" s="108"/>
      <c r="J74" s="255"/>
      <c r="K74" s="252"/>
    </row>
    <row r="75" spans="1:11" x14ac:dyDescent="0.2">
      <c r="A75" s="45" t="s">
        <v>109</v>
      </c>
      <c r="B75" s="48" t="s">
        <v>110</v>
      </c>
      <c r="C75" s="140"/>
      <c r="D75" s="196"/>
      <c r="E75" s="197"/>
      <c r="F75" s="198"/>
      <c r="G75" s="109"/>
      <c r="H75" s="110"/>
      <c r="I75" s="110"/>
      <c r="J75" s="255"/>
      <c r="K75" s="252"/>
    </row>
    <row r="76" spans="1:11" x14ac:dyDescent="0.2">
      <c r="B76" s="51" t="s">
        <v>189</v>
      </c>
      <c r="C76" s="136"/>
      <c r="D76" s="179"/>
      <c r="E76" s="180"/>
      <c r="F76" s="181"/>
      <c r="G76" s="97"/>
      <c r="H76" s="98"/>
      <c r="I76" s="98"/>
      <c r="J76" s="255"/>
      <c r="K76" s="252"/>
    </row>
    <row r="77" spans="1:11" ht="19.5" customHeight="1" x14ac:dyDescent="0.2">
      <c r="B77" s="46" t="s">
        <v>111</v>
      </c>
      <c r="C77" s="290" t="s">
        <v>190</v>
      </c>
      <c r="D77" s="169">
        <f>SUM(G25,G46,G61,G82,G73)</f>
        <v>4300070</v>
      </c>
      <c r="E77" s="170">
        <v>0.05</v>
      </c>
      <c r="F77" s="162">
        <v>0</v>
      </c>
      <c r="G77" s="91">
        <f>D77*E77</f>
        <v>215003.5</v>
      </c>
      <c r="H77" s="88"/>
      <c r="I77" s="243">
        <f>G77+H77</f>
        <v>215003.5</v>
      </c>
      <c r="J77" s="255"/>
      <c r="K77" s="252"/>
    </row>
    <row r="78" spans="1:11" x14ac:dyDescent="0.2">
      <c r="B78" s="46" t="s">
        <v>112</v>
      </c>
      <c r="C78" s="131" t="s">
        <v>191</v>
      </c>
      <c r="D78" s="169">
        <v>100000</v>
      </c>
      <c r="E78" s="213">
        <v>5.0000000000000001E-3</v>
      </c>
      <c r="F78" s="162">
        <v>0</v>
      </c>
      <c r="G78" s="91">
        <f>E78*G33</f>
        <v>0</v>
      </c>
      <c r="H78" s="88"/>
      <c r="I78" s="243">
        <f t="shared" ref="I78:I79" si="26">G78+H78</f>
        <v>0</v>
      </c>
      <c r="J78" s="255"/>
      <c r="K78" s="252"/>
    </row>
    <row r="79" spans="1:11" x14ac:dyDescent="0.2">
      <c r="B79" s="46" t="s">
        <v>113</v>
      </c>
      <c r="C79" s="131" t="s">
        <v>192</v>
      </c>
      <c r="D79" s="169">
        <f>+G127</f>
        <v>4000000</v>
      </c>
      <c r="E79" s="170">
        <v>0.05</v>
      </c>
      <c r="F79" s="162">
        <v>0</v>
      </c>
      <c r="G79" s="91">
        <f>E79*G127</f>
        <v>200000</v>
      </c>
      <c r="H79" s="88"/>
      <c r="I79" s="243">
        <f t="shared" si="26"/>
        <v>200000</v>
      </c>
      <c r="J79" s="255"/>
      <c r="K79" s="252"/>
    </row>
    <row r="80" spans="1:11" x14ac:dyDescent="0.2">
      <c r="B80" s="50" t="s">
        <v>193</v>
      </c>
      <c r="C80" s="137"/>
      <c r="D80" s="185"/>
      <c r="E80" s="186"/>
      <c r="F80" s="187"/>
      <c r="G80" s="100">
        <f>SUM(G77:G79)</f>
        <v>415003.5</v>
      </c>
      <c r="H80" s="101">
        <f t="shared" ref="H80:I80" si="27">SUM(H77:H79)</f>
        <v>0</v>
      </c>
      <c r="I80" s="101">
        <f t="shared" si="27"/>
        <v>415003.5</v>
      </c>
      <c r="J80" s="283">
        <f>+G80/8</f>
        <v>51875.4375</v>
      </c>
      <c r="K80" s="252"/>
    </row>
    <row r="81" spans="2:12" x14ac:dyDescent="0.2">
      <c r="B81" s="51" t="s">
        <v>114</v>
      </c>
      <c r="C81" s="136"/>
      <c r="D81" s="179"/>
      <c r="E81" s="180"/>
      <c r="F81" s="181"/>
      <c r="G81" s="97"/>
      <c r="H81" s="98"/>
      <c r="I81" s="98"/>
      <c r="J81" s="255"/>
      <c r="K81" s="252"/>
    </row>
    <row r="82" spans="2:12" x14ac:dyDescent="0.2">
      <c r="B82" s="47" t="s">
        <v>194</v>
      </c>
      <c r="C82" s="131" t="s">
        <v>116</v>
      </c>
      <c r="D82" s="169">
        <f>$G$127</f>
        <v>4000000</v>
      </c>
      <c r="E82" s="213">
        <v>0</v>
      </c>
      <c r="F82" s="158">
        <v>0.2</v>
      </c>
      <c r="G82" s="87">
        <f>E82*D82</f>
        <v>0</v>
      </c>
      <c r="H82" s="88">
        <f>G82*F82</f>
        <v>0</v>
      </c>
      <c r="I82" s="243">
        <f>G82+H82</f>
        <v>0</v>
      </c>
      <c r="J82" s="255"/>
      <c r="K82" s="252"/>
    </row>
    <row r="83" spans="2:12" x14ac:dyDescent="0.2">
      <c r="B83" s="47" t="s">
        <v>117</v>
      </c>
      <c r="C83" s="131" t="s">
        <v>116</v>
      </c>
      <c r="D83" s="169">
        <f>G127</f>
        <v>4000000</v>
      </c>
      <c r="E83" s="213">
        <v>0</v>
      </c>
      <c r="F83" s="158">
        <v>0.2</v>
      </c>
      <c r="G83" s="87">
        <f>E83*D83</f>
        <v>0</v>
      </c>
      <c r="H83" s="88">
        <f t="shared" ref="H83:H88" si="28">G83*F83</f>
        <v>0</v>
      </c>
      <c r="I83" s="243">
        <f t="shared" ref="I83:I88" si="29">G83+H83</f>
        <v>0</v>
      </c>
      <c r="J83" s="255"/>
      <c r="K83" s="252"/>
    </row>
    <row r="84" spans="2:12" x14ac:dyDescent="0.2">
      <c r="B84" s="47" t="s">
        <v>118</v>
      </c>
      <c r="C84" s="131" t="s">
        <v>119</v>
      </c>
      <c r="D84" s="169">
        <f>G73+G61+G46+G25</f>
        <v>4300070</v>
      </c>
      <c r="E84" s="213">
        <v>4.4999999999999998E-2</v>
      </c>
      <c r="F84" s="158"/>
      <c r="G84" s="87">
        <f>E84*D84</f>
        <v>193503.15</v>
      </c>
      <c r="H84" s="88">
        <f t="shared" si="28"/>
        <v>0</v>
      </c>
      <c r="I84" s="243">
        <f t="shared" si="29"/>
        <v>193503.15</v>
      </c>
      <c r="J84" s="255"/>
      <c r="K84" s="252"/>
      <c r="L84" s="241">
        <f>3%*G127</f>
        <v>120000</v>
      </c>
    </row>
    <row r="85" spans="2:12" x14ac:dyDescent="0.2">
      <c r="B85" s="47" t="s">
        <v>120</v>
      </c>
      <c r="C85" s="131" t="s">
        <v>116</v>
      </c>
      <c r="D85" s="169">
        <f>G127</f>
        <v>4000000</v>
      </c>
      <c r="E85" s="213">
        <v>0</v>
      </c>
      <c r="F85" s="158"/>
      <c r="G85" s="87">
        <f>E85*D85</f>
        <v>0</v>
      </c>
      <c r="H85" s="88">
        <f t="shared" si="28"/>
        <v>0</v>
      </c>
      <c r="I85" s="243">
        <f t="shared" si="29"/>
        <v>0</v>
      </c>
      <c r="J85" s="255"/>
      <c r="K85" s="252"/>
    </row>
    <row r="86" spans="2:12" x14ac:dyDescent="0.2">
      <c r="B86" s="47" t="s">
        <v>121</v>
      </c>
      <c r="C86" s="131" t="s">
        <v>116</v>
      </c>
      <c r="D86" s="169">
        <f>$G$127</f>
        <v>4000000</v>
      </c>
      <c r="E86" s="213">
        <v>0</v>
      </c>
      <c r="F86" s="158"/>
      <c r="G86" s="87">
        <f t="shared" ref="G86:G88" si="30">E86*D86</f>
        <v>0</v>
      </c>
      <c r="H86" s="88">
        <f t="shared" si="28"/>
        <v>0</v>
      </c>
      <c r="I86" s="243">
        <f t="shared" si="29"/>
        <v>0</v>
      </c>
      <c r="J86" s="255"/>
      <c r="K86" s="252"/>
    </row>
    <row r="87" spans="2:12" x14ac:dyDescent="0.2">
      <c r="B87" s="47" t="s">
        <v>122</v>
      </c>
      <c r="C87" s="131" t="s">
        <v>116</v>
      </c>
      <c r="D87" s="169">
        <f>$G$127</f>
        <v>4000000</v>
      </c>
      <c r="E87" s="213">
        <v>0</v>
      </c>
      <c r="F87" s="158"/>
      <c r="G87" s="87">
        <f t="shared" si="30"/>
        <v>0</v>
      </c>
      <c r="H87" s="88">
        <f t="shared" si="28"/>
        <v>0</v>
      </c>
      <c r="I87" s="243">
        <f t="shared" si="29"/>
        <v>0</v>
      </c>
      <c r="J87" s="255"/>
      <c r="K87" s="252"/>
    </row>
    <row r="88" spans="2:12" x14ac:dyDescent="0.2">
      <c r="B88" s="47" t="s">
        <v>123</v>
      </c>
      <c r="C88" s="131" t="s">
        <v>116</v>
      </c>
      <c r="D88" s="169">
        <f>$G$127</f>
        <v>4000000</v>
      </c>
      <c r="E88" s="170">
        <v>0.05</v>
      </c>
      <c r="F88" s="158">
        <v>0.2</v>
      </c>
      <c r="G88" s="87">
        <f t="shared" si="30"/>
        <v>200000</v>
      </c>
      <c r="H88" s="88">
        <f t="shared" si="28"/>
        <v>40000</v>
      </c>
      <c r="I88" s="243">
        <f t="shared" si="29"/>
        <v>240000</v>
      </c>
      <c r="J88" s="255"/>
      <c r="K88" s="252"/>
    </row>
    <row r="89" spans="2:12" x14ac:dyDescent="0.2">
      <c r="B89" s="50" t="s">
        <v>124</v>
      </c>
      <c r="C89" s="137"/>
      <c r="D89" s="185"/>
      <c r="E89" s="186"/>
      <c r="F89" s="187"/>
      <c r="G89" s="100">
        <f>SUM(G82:G88)</f>
        <v>393503.15</v>
      </c>
      <c r="H89" s="101">
        <f>SUM(H82:H88)</f>
        <v>40000</v>
      </c>
      <c r="I89" s="101">
        <f>SUM(I82:I88)</f>
        <v>433503.15</v>
      </c>
      <c r="J89" s="255"/>
      <c r="K89" s="252"/>
    </row>
    <row r="90" spans="2:12" x14ac:dyDescent="0.2">
      <c r="B90" s="49" t="s">
        <v>125</v>
      </c>
      <c r="C90" s="138"/>
      <c r="D90" s="190"/>
      <c r="E90" s="191"/>
      <c r="F90" s="192"/>
      <c r="G90" s="104">
        <f>G80+G89</f>
        <v>808506.65</v>
      </c>
      <c r="H90" s="105">
        <f t="shared" ref="H90" si="31">H80+H89</f>
        <v>40000</v>
      </c>
      <c r="I90" s="105">
        <f>I80+I89</f>
        <v>848506.65</v>
      </c>
      <c r="J90" s="255"/>
      <c r="K90" s="254">
        <f>G90/$G$92</f>
        <v>0.15826456279167309</v>
      </c>
    </row>
    <row r="91" spans="2:12" ht="17" thickBot="1" x14ac:dyDescent="0.25">
      <c r="B91" s="205" t="s">
        <v>195</v>
      </c>
      <c r="C91" s="206"/>
      <c r="D91" s="207"/>
      <c r="E91" s="208"/>
      <c r="F91" s="209"/>
      <c r="G91" s="210"/>
      <c r="H91" s="211">
        <f>SUM(H111,H121)-SUM(H25,H46,H61,H73,H90)</f>
        <v>-73790.5</v>
      </c>
      <c r="I91" s="212"/>
    </row>
    <row r="92" spans="2:12" ht="17" thickBot="1" x14ac:dyDescent="0.25">
      <c r="B92" s="129" t="s">
        <v>126</v>
      </c>
      <c r="C92" s="203"/>
      <c r="D92" s="203"/>
      <c r="E92" s="203"/>
      <c r="F92" s="203"/>
      <c r="G92" s="203">
        <f>G25+G46+G61+G73+G90+G91</f>
        <v>5108576.6500000004</v>
      </c>
      <c r="H92" s="203">
        <f>H25+H46+H61+H73+H90+H91</f>
        <v>107273.5</v>
      </c>
      <c r="I92" s="204">
        <f>I25+I46+I61+I73+I90+I91</f>
        <v>5329640.6500000004</v>
      </c>
      <c r="K92" s="240">
        <f>G92/$G$92</f>
        <v>1</v>
      </c>
    </row>
    <row r="95" spans="2:12" ht="17" thickBot="1" x14ac:dyDescent="0.25">
      <c r="B95" s="350" t="s">
        <v>196</v>
      </c>
      <c r="C95" s="335"/>
      <c r="D95" s="335"/>
      <c r="E95" s="335"/>
      <c r="F95" s="335"/>
      <c r="G95" s="335"/>
      <c r="H95" s="335"/>
      <c r="I95" s="351"/>
    </row>
    <row r="96" spans="2:12" x14ac:dyDescent="0.2">
      <c r="C96" s="63" t="s">
        <v>66</v>
      </c>
      <c r="D96" s="64" t="s">
        <v>67</v>
      </c>
      <c r="E96" s="65" t="s">
        <v>68</v>
      </c>
      <c r="F96" s="66" t="s">
        <v>69</v>
      </c>
      <c r="G96" s="60" t="s">
        <v>70</v>
      </c>
      <c r="H96" s="61" t="s">
        <v>71</v>
      </c>
      <c r="I96" s="62" t="s">
        <v>72</v>
      </c>
    </row>
    <row r="97" spans="1:10" x14ac:dyDescent="0.2">
      <c r="A97" s="45" t="s">
        <v>73</v>
      </c>
      <c r="B97" s="48" t="s">
        <v>197</v>
      </c>
      <c r="C97" s="140"/>
      <c r="D97" s="214"/>
      <c r="E97" s="215"/>
      <c r="F97" s="216"/>
      <c r="G97" s="112"/>
      <c r="H97" s="113"/>
      <c r="I97" s="111"/>
    </row>
    <row r="98" spans="1:10" x14ac:dyDescent="0.2">
      <c r="B98" s="51" t="s">
        <v>198</v>
      </c>
      <c r="C98" s="136"/>
      <c r="D98" s="217"/>
      <c r="E98" s="218"/>
      <c r="F98" s="219"/>
      <c r="G98" s="114"/>
      <c r="H98" s="115"/>
      <c r="I98" s="99"/>
    </row>
    <row r="99" spans="1:10" ht="29.25" customHeight="1" x14ac:dyDescent="0.2">
      <c r="B99" s="47" t="s">
        <v>199</v>
      </c>
      <c r="C99" s="131" t="s">
        <v>200</v>
      </c>
      <c r="D99" s="184">
        <f>Surfaces!D12</f>
        <v>25881</v>
      </c>
      <c r="E99" s="171">
        <v>600</v>
      </c>
      <c r="F99" s="220">
        <v>0.2</v>
      </c>
      <c r="G99" s="87">
        <f>D99*E99</f>
        <v>15528600</v>
      </c>
      <c r="H99" s="88">
        <f>F99*G99</f>
        <v>3105720</v>
      </c>
      <c r="I99" s="116">
        <f>G99+H99</f>
        <v>18634320</v>
      </c>
      <c r="J99" s="273"/>
    </row>
    <row r="100" spans="1:10" ht="29" hidden="1" customHeight="1" x14ac:dyDescent="0.2">
      <c r="B100" s="275" t="s">
        <v>201</v>
      </c>
      <c r="C100" s="131"/>
      <c r="D100" s="184"/>
      <c r="E100" s="171"/>
      <c r="F100" s="220"/>
      <c r="G100" s="87"/>
      <c r="H100" s="88"/>
      <c r="I100" s="116"/>
    </row>
    <row r="101" spans="1:10" ht="29.25" hidden="1" customHeight="1" x14ac:dyDescent="0.2">
      <c r="B101" s="275" t="s">
        <v>202</v>
      </c>
      <c r="C101" s="131"/>
      <c r="D101" s="184"/>
      <c r="E101" s="171"/>
      <c r="F101" s="220"/>
      <c r="G101" s="87"/>
      <c r="H101" s="88"/>
      <c r="I101" s="116"/>
    </row>
    <row r="102" spans="1:10" ht="29.25" customHeight="1" x14ac:dyDescent="0.2">
      <c r="B102" s="47" t="s">
        <v>203</v>
      </c>
      <c r="C102" s="131"/>
      <c r="D102" s="184">
        <v>1148</v>
      </c>
      <c r="E102" s="171">
        <v>730</v>
      </c>
      <c r="F102" s="220">
        <v>0.05</v>
      </c>
      <c r="G102" s="87">
        <f>D102*E102</f>
        <v>838040</v>
      </c>
      <c r="H102" s="88">
        <f>F102*G102</f>
        <v>41902</v>
      </c>
      <c r="I102" s="116">
        <f>G102+H102</f>
        <v>879942</v>
      </c>
    </row>
    <row r="103" spans="1:10" ht="29.25" hidden="1" customHeight="1" x14ac:dyDescent="0.2">
      <c r="B103" s="275" t="s">
        <v>204</v>
      </c>
      <c r="C103" s="131"/>
      <c r="D103" s="184"/>
      <c r="E103" s="171"/>
      <c r="F103" s="220"/>
      <c r="G103" s="87"/>
      <c r="H103" s="88"/>
      <c r="I103" s="116"/>
    </row>
    <row r="104" spans="1:10" ht="29.25" hidden="1" customHeight="1" x14ac:dyDescent="0.2">
      <c r="B104" s="275" t="s">
        <v>201</v>
      </c>
      <c r="C104" s="131"/>
      <c r="D104" s="184"/>
      <c r="E104" s="171"/>
      <c r="F104" s="220"/>
      <c r="G104" s="87"/>
      <c r="H104" s="88"/>
      <c r="I104" s="116"/>
    </row>
    <row r="105" spans="1:10" ht="29.25" customHeight="1" x14ac:dyDescent="0.2">
      <c r="B105" s="47" t="s">
        <v>205</v>
      </c>
      <c r="C105" s="131"/>
      <c r="D105" s="184">
        <f>+Surfaces!B12</f>
        <v>1791</v>
      </c>
      <c r="E105" s="171">
        <v>730</v>
      </c>
      <c r="F105" s="220">
        <v>0.05</v>
      </c>
      <c r="G105" s="87">
        <f>D105*E105</f>
        <v>1307430</v>
      </c>
      <c r="H105" s="88">
        <f>F105*G105</f>
        <v>65371.5</v>
      </c>
      <c r="I105" s="116">
        <f>G105+H105</f>
        <v>1372801.5</v>
      </c>
    </row>
    <row r="106" spans="1:10" x14ac:dyDescent="0.2">
      <c r="B106" s="47"/>
      <c r="C106" s="131"/>
      <c r="D106" s="184"/>
      <c r="E106" s="171"/>
      <c r="F106" s="220"/>
      <c r="G106" s="87">
        <f>D106*E106</f>
        <v>0</v>
      </c>
      <c r="H106" s="88">
        <f>F106*G106</f>
        <v>0</v>
      </c>
      <c r="I106" s="116">
        <f>G106+H106</f>
        <v>0</v>
      </c>
    </row>
    <row r="107" spans="1:10" x14ac:dyDescent="0.2">
      <c r="B107" s="50" t="s">
        <v>206</v>
      </c>
      <c r="C107" s="137"/>
      <c r="D107" s="221"/>
      <c r="E107" s="222"/>
      <c r="F107" s="223"/>
      <c r="G107" s="117">
        <f>SUM(G102:G106)</f>
        <v>2145470</v>
      </c>
      <c r="H107" s="127">
        <f>SUM(H102:H106)</f>
        <v>107273.5</v>
      </c>
      <c r="I107" s="128">
        <f>SUM(I102:I106)</f>
        <v>2252743.5</v>
      </c>
    </row>
    <row r="108" spans="1:10" x14ac:dyDescent="0.2">
      <c r="B108" s="51" t="s">
        <v>207</v>
      </c>
      <c r="C108" s="136"/>
      <c r="D108" s="217"/>
      <c r="E108" s="218"/>
      <c r="F108" s="219"/>
      <c r="G108" s="114"/>
      <c r="H108" s="115"/>
      <c r="I108" s="99"/>
    </row>
    <row r="109" spans="1:10" ht="34.5" customHeight="1" x14ac:dyDescent="0.2">
      <c r="B109" s="46" t="s">
        <v>208</v>
      </c>
      <c r="C109" s="131" t="s">
        <v>200</v>
      </c>
      <c r="D109" s="184">
        <f>H14</f>
        <v>0</v>
      </c>
      <c r="E109" s="171">
        <v>100</v>
      </c>
      <c r="F109" s="220">
        <v>0.2</v>
      </c>
      <c r="G109" s="87">
        <f>D109*E109</f>
        <v>0</v>
      </c>
      <c r="H109" s="88">
        <f>F109*G109</f>
        <v>0</v>
      </c>
      <c r="I109" s="116">
        <f>G109+H109</f>
        <v>0</v>
      </c>
    </row>
    <row r="110" spans="1:10" x14ac:dyDescent="0.2">
      <c r="B110" s="50" t="s">
        <v>209</v>
      </c>
      <c r="C110" s="137"/>
      <c r="D110" s="221"/>
      <c r="E110" s="222"/>
      <c r="F110" s="223"/>
      <c r="G110" s="117">
        <f>SUM(G109)</f>
        <v>0</v>
      </c>
      <c r="H110" s="118">
        <f t="shared" ref="H110:I110" si="32">SUM(H109)</f>
        <v>0</v>
      </c>
      <c r="I110" s="102">
        <f t="shared" si="32"/>
        <v>0</v>
      </c>
    </row>
    <row r="111" spans="1:10" x14ac:dyDescent="0.2">
      <c r="B111" s="49" t="s">
        <v>210</v>
      </c>
      <c r="C111" s="138"/>
      <c r="D111" s="224"/>
      <c r="E111" s="225"/>
      <c r="F111" s="226"/>
      <c r="G111" s="119">
        <f>G107+G110</f>
        <v>2145470</v>
      </c>
      <c r="H111" s="120">
        <f t="shared" ref="H111" si="33">H107+H110</f>
        <v>107273.5</v>
      </c>
      <c r="I111" s="106">
        <f>I107+I110</f>
        <v>2252743.5</v>
      </c>
    </row>
    <row r="112" spans="1:10" ht="7.5" customHeight="1" x14ac:dyDescent="0.2">
      <c r="B112" s="18"/>
      <c r="C112" s="131"/>
      <c r="D112" s="156"/>
      <c r="E112" s="157"/>
      <c r="F112" s="227"/>
      <c r="G112" s="87"/>
      <c r="H112" s="88"/>
      <c r="I112" s="116"/>
    </row>
    <row r="113" spans="1:10" x14ac:dyDescent="0.2">
      <c r="A113" s="45" t="s">
        <v>77</v>
      </c>
      <c r="B113" s="48" t="s">
        <v>211</v>
      </c>
      <c r="C113" s="140"/>
      <c r="D113" s="214"/>
      <c r="E113" s="215"/>
      <c r="F113" s="216"/>
      <c r="G113" s="112"/>
      <c r="H113" s="113"/>
      <c r="I113" s="111"/>
    </row>
    <row r="114" spans="1:10" x14ac:dyDescent="0.2">
      <c r="A114" s="45" t="s">
        <v>152</v>
      </c>
      <c r="B114" s="51" t="s">
        <v>131</v>
      </c>
      <c r="C114" s="136"/>
      <c r="D114" s="217"/>
      <c r="E114" s="218"/>
      <c r="F114" s="219"/>
      <c r="G114" s="114"/>
      <c r="H114" s="115"/>
      <c r="I114" s="99"/>
    </row>
    <row r="115" spans="1:10" x14ac:dyDescent="0.2">
      <c r="B115" s="18" t="s">
        <v>212</v>
      </c>
      <c r="C115" s="131"/>
      <c r="D115" s="156"/>
      <c r="E115" s="157"/>
      <c r="F115" s="227"/>
      <c r="G115" s="87"/>
      <c r="H115" s="88"/>
      <c r="I115" s="116">
        <f>G115+H115</f>
        <v>0</v>
      </c>
    </row>
    <row r="116" spans="1:10" x14ac:dyDescent="0.2">
      <c r="B116" s="18" t="s">
        <v>213</v>
      </c>
      <c r="C116" s="131"/>
      <c r="D116" s="156"/>
      <c r="E116" s="157"/>
      <c r="F116" s="227"/>
      <c r="G116" s="87"/>
      <c r="H116" s="88"/>
      <c r="I116" s="116">
        <f>G116+H116</f>
        <v>0</v>
      </c>
    </row>
    <row r="117" spans="1:10" x14ac:dyDescent="0.2">
      <c r="B117" s="50" t="s">
        <v>214</v>
      </c>
      <c r="C117" s="137"/>
      <c r="D117" s="221"/>
      <c r="E117" s="222"/>
      <c r="F117" s="223"/>
      <c r="G117" s="117">
        <f>SUM(G115:G116)</f>
        <v>0</v>
      </c>
      <c r="H117" s="118">
        <f t="shared" ref="H117:I117" si="34">SUM(H115:H116)</f>
        <v>0</v>
      </c>
      <c r="I117" s="102">
        <f t="shared" si="34"/>
        <v>0</v>
      </c>
    </row>
    <row r="118" spans="1:10" x14ac:dyDescent="0.2">
      <c r="A118" s="45" t="s">
        <v>79</v>
      </c>
      <c r="B118" s="51" t="s">
        <v>130</v>
      </c>
      <c r="C118" s="136"/>
      <c r="D118" s="217"/>
      <c r="E118" s="218"/>
      <c r="F118" s="219"/>
      <c r="G118" s="114"/>
      <c r="H118" s="115"/>
      <c r="I118" s="99"/>
    </row>
    <row r="119" spans="1:10" x14ac:dyDescent="0.2">
      <c r="B119" s="18"/>
      <c r="C119" s="139"/>
      <c r="D119" s="228"/>
      <c r="E119" s="229"/>
      <c r="F119" s="230"/>
      <c r="G119" s="121"/>
      <c r="H119" s="122"/>
      <c r="I119" s="123">
        <f>G119+H119</f>
        <v>0</v>
      </c>
    </row>
    <row r="120" spans="1:10" x14ac:dyDescent="0.2">
      <c r="B120" s="50" t="s">
        <v>215</v>
      </c>
      <c r="C120" s="137"/>
      <c r="D120" s="221"/>
      <c r="E120" s="222"/>
      <c r="F120" s="223"/>
      <c r="G120" s="117">
        <f>SUM(G119)</f>
        <v>0</v>
      </c>
      <c r="H120" s="118">
        <f t="shared" ref="H120:I120" si="35">SUM(H119)</f>
        <v>0</v>
      </c>
      <c r="I120" s="102">
        <f t="shared" si="35"/>
        <v>0</v>
      </c>
    </row>
    <row r="121" spans="1:10" ht="17" thickBot="1" x14ac:dyDescent="0.25">
      <c r="B121" s="49" t="s">
        <v>216</v>
      </c>
      <c r="C121" s="141"/>
      <c r="D121" s="231"/>
      <c r="E121" s="232"/>
      <c r="F121" s="233"/>
      <c r="G121" s="124">
        <f>G117+G120</f>
        <v>0</v>
      </c>
      <c r="H121" s="125">
        <f t="shared" ref="H121:I121" si="36">H117+H120</f>
        <v>0</v>
      </c>
      <c r="I121" s="126">
        <f t="shared" si="36"/>
        <v>0</v>
      </c>
    </row>
    <row r="122" spans="1:10" ht="8.25" customHeight="1" x14ac:dyDescent="0.2"/>
    <row r="123" spans="1:10" hidden="1" x14ac:dyDescent="0.2">
      <c r="A123" s="45" t="s">
        <v>84</v>
      </c>
      <c r="B123" s="48" t="s">
        <v>217</v>
      </c>
      <c r="C123" s="140"/>
      <c r="D123" s="214"/>
      <c r="E123" s="215"/>
      <c r="F123" s="216"/>
      <c r="G123" s="112"/>
      <c r="H123" s="113"/>
      <c r="I123" s="111"/>
    </row>
    <row r="124" spans="1:10" hidden="1" x14ac:dyDescent="0.2">
      <c r="B124" s="19" t="s">
        <v>218</v>
      </c>
      <c r="C124" s="266" t="s">
        <v>219</v>
      </c>
      <c r="D124" s="267"/>
      <c r="E124" s="268"/>
      <c r="F124" s="220">
        <v>0.2</v>
      </c>
      <c r="G124" s="269"/>
      <c r="H124" s="270">
        <f>F124*G124</f>
        <v>0</v>
      </c>
      <c r="I124" s="271">
        <f>G124+H124</f>
        <v>0</v>
      </c>
      <c r="J124" s="154" t="s">
        <v>220</v>
      </c>
    </row>
    <row r="125" spans="1:10" ht="17" hidden="1" thickBot="1" x14ac:dyDescent="0.25">
      <c r="B125" s="49" t="s">
        <v>221</v>
      </c>
      <c r="C125" s="141"/>
      <c r="D125" s="231"/>
      <c r="E125" s="232"/>
      <c r="F125" s="272"/>
      <c r="G125" s="124">
        <f>G124</f>
        <v>0</v>
      </c>
      <c r="H125" s="125"/>
      <c r="I125" s="126"/>
    </row>
    <row r="126" spans="1:10" ht="17" thickBot="1" x14ac:dyDescent="0.25"/>
    <row r="127" spans="1:10" ht="17" thickBot="1" x14ac:dyDescent="0.25">
      <c r="B127" s="129" t="s">
        <v>222</v>
      </c>
      <c r="C127" s="202"/>
      <c r="D127" s="203"/>
      <c r="E127" s="203"/>
      <c r="F127" s="203"/>
      <c r="G127" s="286">
        <v>4000000</v>
      </c>
      <c r="H127" s="203">
        <f t="shared" ref="H127:I127" si="37">H111+H121</f>
        <v>107273.5</v>
      </c>
      <c r="I127" s="204">
        <f t="shared" si="37"/>
        <v>2252743.5</v>
      </c>
    </row>
    <row r="128" spans="1:10" x14ac:dyDescent="0.2">
      <c r="G128" s="287" t="s">
        <v>223</v>
      </c>
    </row>
    <row r="129" spans="2:9" ht="17" thickBot="1" x14ac:dyDescent="0.25"/>
    <row r="130" spans="2:9" ht="17" thickBot="1" x14ac:dyDescent="0.25">
      <c r="B130" s="130" t="s">
        <v>224</v>
      </c>
      <c r="C130" s="201"/>
      <c r="D130" s="200"/>
      <c r="E130" s="200"/>
      <c r="F130" s="200"/>
      <c r="G130" s="234">
        <f>G127-G92</f>
        <v>-1108576.6500000004</v>
      </c>
      <c r="H130" s="234"/>
      <c r="I130" s="235">
        <f>I127-I92</f>
        <v>-3076897.1500000004</v>
      </c>
    </row>
  </sheetData>
  <sheetProtection algorithmName="SHA-512" hashValue="5D6vFeGszr40SP108uFKlx709aSbw7CIglp6DTudOoDkqr3LJUtMX5uu45Y2UTNKbQE5fclAi9O924sdMsem9Q==" saltValue="+b0zqKqy6f7st7ZM2/QPjg==" spinCount="100000" sheet="1" objects="1" scenarios="1"/>
  <mergeCells count="11">
    <mergeCell ref="J19:J25"/>
    <mergeCell ref="B1:I1"/>
    <mergeCell ref="B2:I2"/>
    <mergeCell ref="B17:I17"/>
    <mergeCell ref="B95:I95"/>
    <mergeCell ref="E14:F14"/>
    <mergeCell ref="E9:F9"/>
    <mergeCell ref="E10:F10"/>
    <mergeCell ref="E12:F12"/>
    <mergeCell ref="E13:F13"/>
    <mergeCell ref="E11:F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AB55-135E-4DFC-89A2-36BFEF1922ED}">
  <dimension ref="A3:D12"/>
  <sheetViews>
    <sheetView workbookViewId="0">
      <selection activeCell="D37" sqref="D37"/>
    </sheetView>
  </sheetViews>
  <sheetFormatPr baseColWidth="10" defaultColWidth="11.5" defaultRowHeight="15" x14ac:dyDescent="0.2"/>
  <sheetData>
    <row r="3" spans="1:4" x14ac:dyDescent="0.2">
      <c r="B3" t="s">
        <v>225</v>
      </c>
      <c r="C3" t="s">
        <v>226</v>
      </c>
      <c r="D3" t="s">
        <v>227</v>
      </c>
    </row>
    <row r="4" spans="1:4" x14ac:dyDescent="0.2">
      <c r="B4">
        <v>264</v>
      </c>
    </row>
    <row r="5" spans="1:4" x14ac:dyDescent="0.2">
      <c r="B5">
        <v>267</v>
      </c>
    </row>
    <row r="6" spans="1:4" x14ac:dyDescent="0.2">
      <c r="B6">
        <v>266</v>
      </c>
    </row>
    <row r="7" spans="1:4" x14ac:dyDescent="0.2">
      <c r="B7">
        <v>260</v>
      </c>
    </row>
    <row r="8" spans="1:4" x14ac:dyDescent="0.2">
      <c r="B8">
        <v>248</v>
      </c>
    </row>
    <row r="9" spans="1:4" x14ac:dyDescent="0.2">
      <c r="B9">
        <v>240</v>
      </c>
    </row>
    <row r="10" spans="1:4" x14ac:dyDescent="0.2">
      <c r="B10">
        <v>246</v>
      </c>
    </row>
    <row r="11" spans="1:4" x14ac:dyDescent="0.2">
      <c r="A11" t="s">
        <v>228</v>
      </c>
      <c r="B11">
        <f>AVERAGE(B4:B10)</f>
        <v>255.85714285714286</v>
      </c>
    </row>
    <row r="12" spans="1:4" x14ac:dyDescent="0.2">
      <c r="A12" t="s">
        <v>229</v>
      </c>
      <c r="B12">
        <f>SUM(B4:B10)</f>
        <v>1791</v>
      </c>
      <c r="C12">
        <v>1148</v>
      </c>
      <c r="D12">
        <f>Bilan!C13-Surfaces!B12-Surfaces!C12</f>
        <v>25881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7E40C26852FD419F114CB215EC3AFF" ma:contentTypeVersion="4" ma:contentTypeDescription="Crée un document." ma:contentTypeScope="" ma:versionID="bb22444fa86dcf5097d3e64edc048add">
  <xsd:schema xmlns:xsd="http://www.w3.org/2001/XMLSchema" xmlns:xs="http://www.w3.org/2001/XMLSchema" xmlns:p="http://schemas.microsoft.com/office/2006/metadata/properties" xmlns:ns2="55b9789e-41ca-4288-a180-a567d83d5d8e" targetNamespace="http://schemas.microsoft.com/office/2006/metadata/properties" ma:root="true" ma:fieldsID="113a9bd487849edacce2fd2d24fe1d96" ns2:_="">
    <xsd:import namespace="55b9789e-41ca-4288-a180-a567d83d5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9789e-41ca-4288-a180-a567d83d5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857687-CBB8-42A7-9F74-125344AF22A5}">
  <ds:schemaRefs>
    <ds:schemaRef ds:uri="http://schemas.microsoft.com/office/infopath/2007/PartnerControls"/>
    <ds:schemaRef ds:uri="55b9789e-41ca-4288-a180-a567d83d5d8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68C1F52-C659-49DD-AC58-8C457815E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9789e-41ca-4288-a180-a567d83d5d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051958-4A00-493D-A4B1-D7443E9451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Màj SCET</vt:lpstr>
      <vt:lpstr>Bilan CRAC </vt:lpstr>
      <vt:lpstr>Bilan</vt:lpstr>
      <vt:lpstr>Surfaces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GOLCZYK Xavier</dc:creator>
  <cp:keywords/>
  <dc:description/>
  <cp:lastModifiedBy>Nicolas MOREAU</cp:lastModifiedBy>
  <cp:revision/>
  <cp:lastPrinted>2024-08-20T07:50:44Z</cp:lastPrinted>
  <dcterms:created xsi:type="dcterms:W3CDTF">2015-06-05T18:19:34Z</dcterms:created>
  <dcterms:modified xsi:type="dcterms:W3CDTF">2025-02-05T08:12:48Z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0x010100D57E40C26852FD419F114CB215EC3AFF</vt:lpwstr>
  </property>
</Properties>
</file>